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Decoupling Mechanisms\3% 24 month limitation\Dec 2018 normalized revenue\"/>
    </mc:Choice>
  </mc:AlternateContent>
  <bookViews>
    <workbookView xWindow="0" yWindow="0" windowWidth="20160" windowHeight="10872" firstSheet="2" activeTab="7"/>
  </bookViews>
  <sheets>
    <sheet name="Gas by Mo" sheetId="4" r:id="rId1"/>
    <sheet name="Acerno_Cache_XXXXX" sheetId="20" state="veryHidden" r:id="rId2"/>
    <sheet name="Gas Factors" sheetId="7" r:id="rId3"/>
    <sheet name="30 yr avg Heating " sheetId="13" r:id="rId4"/>
    <sheet name="Cust Data" sheetId="10" r:id="rId5"/>
    <sheet name="DDH" sheetId="1" r:id="rId6"/>
    <sheet name="WA Adj Summary" sheetId="18" r:id="rId7"/>
    <sheet name="ID Adj Summary" sheetId="19" r:id="rId8"/>
  </sheets>
  <externalReferences>
    <externalReference r:id="rId9"/>
    <externalReference r:id="rId10"/>
  </externalReferences>
  <definedNames>
    <definedName name="_xlnm.Print_Area" localSheetId="3">'30 yr avg Heating '!$A$1:$O$37</definedName>
    <definedName name="_xlnm.Print_Area" localSheetId="4">'Cust Data'!$A$97:$Q$126</definedName>
    <definedName name="_xlnm.Print_Area" localSheetId="5">DDH!$A$1:$D$24</definedName>
    <definedName name="_xlnm.Print_Area" localSheetId="0">'Gas by Mo'!$A$1:$O$190</definedName>
    <definedName name="_xlnm.Print_Area" localSheetId="2">'Gas Factors'!$A$1:$H$33</definedName>
    <definedName name="_xlnm.Print_Titles" localSheetId="0">'Gas by Mo'!$1:$1</definedName>
    <definedName name="_xlnm.Print_Titles" localSheetId="2">'Gas Factors'!$3:$4</definedName>
    <definedName name="TableName">"Dummy"</definedName>
  </definedNames>
  <calcPr calcId="152511" fullPrecision="0"/>
</workbook>
</file>

<file path=xl/calcChain.xml><?xml version="1.0" encoding="utf-8"?>
<calcChain xmlns="http://schemas.openxmlformats.org/spreadsheetml/2006/main">
  <c r="D39" i="19" l="1"/>
  <c r="D34" i="19"/>
  <c r="D10" i="19"/>
  <c r="D39" i="18" l="1"/>
  <c r="D34" i="18"/>
  <c r="D31" i="18"/>
  <c r="D10" i="18"/>
  <c r="K22" i="1" l="1"/>
  <c r="I22" i="1"/>
  <c r="G22" i="1"/>
  <c r="B22" i="1"/>
  <c r="C22" i="1"/>
  <c r="D22" i="1"/>
  <c r="F99" i="4" l="1"/>
  <c r="G99" i="4"/>
  <c r="F100" i="4"/>
  <c r="G100" i="4"/>
  <c r="F101" i="4"/>
  <c r="G101" i="4"/>
  <c r="E101" i="4"/>
  <c r="E100" i="4"/>
  <c r="E99" i="4"/>
  <c r="D101" i="4"/>
  <c r="D100" i="4"/>
  <c r="D99" i="4"/>
  <c r="Q36" i="10" l="1"/>
  <c r="Q34" i="10"/>
  <c r="Q33" i="10"/>
  <c r="Q41" i="10"/>
  <c r="Q40" i="10"/>
  <c r="Q39" i="10"/>
  <c r="O151" i="4"/>
  <c r="O150" i="4"/>
  <c r="O148" i="4"/>
  <c r="O147" i="4"/>
  <c r="O146" i="4"/>
  <c r="O144" i="4"/>
  <c r="O143" i="4"/>
  <c r="O142" i="4"/>
  <c r="O141" i="4"/>
  <c r="O140" i="4"/>
  <c r="M186" i="4" l="1"/>
  <c r="M185" i="4"/>
  <c r="M184" i="4"/>
  <c r="M183" i="4"/>
  <c r="M178" i="4"/>
  <c r="N151" i="4"/>
  <c r="N150" i="4"/>
  <c r="N143" i="4"/>
  <c r="N148" i="4"/>
  <c r="N147" i="4"/>
  <c r="N146" i="4"/>
  <c r="M140" i="4"/>
  <c r="M141" i="4"/>
  <c r="M142" i="4"/>
  <c r="M143" i="4"/>
  <c r="M144" i="4"/>
  <c r="M146" i="4"/>
  <c r="M147" i="4"/>
  <c r="M148" i="4"/>
  <c r="M150" i="4"/>
  <c r="M151" i="4"/>
  <c r="A17" i="1"/>
  <c r="A18" i="1"/>
  <c r="A19" i="1"/>
  <c r="O61" i="10"/>
  <c r="P61" i="10"/>
  <c r="O62" i="10"/>
  <c r="P62" i="10"/>
  <c r="O63" i="10"/>
  <c r="P63" i="10"/>
  <c r="O64" i="10"/>
  <c r="P64" i="10"/>
  <c r="O65" i="10"/>
  <c r="P65" i="10"/>
  <c r="O66" i="10"/>
  <c r="P66" i="10"/>
  <c r="O67" i="10"/>
  <c r="P67" i="10"/>
  <c r="O68" i="10"/>
  <c r="P68" i="10"/>
  <c r="O69" i="10"/>
  <c r="P69" i="10"/>
  <c r="O70" i="10"/>
  <c r="P70" i="10"/>
  <c r="O71" i="10"/>
  <c r="P71" i="10"/>
  <c r="O72" i="10"/>
  <c r="P72" i="10"/>
  <c r="O73" i="10"/>
  <c r="P73" i="10"/>
  <c r="O74" i="10"/>
  <c r="P74" i="10"/>
  <c r="O75" i="10"/>
  <c r="P75" i="10"/>
  <c r="O76" i="10"/>
  <c r="P76" i="10"/>
  <c r="O77" i="10"/>
  <c r="P77" i="10"/>
  <c r="O78" i="10"/>
  <c r="P78" i="10"/>
  <c r="O79" i="10"/>
  <c r="P79" i="10"/>
  <c r="O80" i="10"/>
  <c r="P80" i="10"/>
  <c r="O81" i="10"/>
  <c r="P81" i="10"/>
  <c r="O82" i="10"/>
  <c r="P82" i="10"/>
  <c r="O83" i="10"/>
  <c r="P83" i="10"/>
  <c r="O84" i="10"/>
  <c r="P84" i="10"/>
  <c r="O85" i="10"/>
  <c r="P85" i="10"/>
  <c r="O86" i="10"/>
  <c r="P86" i="10"/>
  <c r="O87" i="10"/>
  <c r="P87" i="10"/>
  <c r="O88" i="10"/>
  <c r="P88" i="10"/>
  <c r="O89" i="10"/>
  <c r="P89" i="10"/>
  <c r="O90" i="10"/>
  <c r="P90" i="10"/>
  <c r="O91" i="10"/>
  <c r="P91" i="10"/>
  <c r="O92" i="10"/>
  <c r="P92" i="10"/>
  <c r="O93" i="10"/>
  <c r="P93" i="10"/>
  <c r="O94" i="10"/>
  <c r="P94" i="10"/>
  <c r="O100" i="10"/>
  <c r="P100" i="10"/>
  <c r="O101" i="10"/>
  <c r="P101" i="10"/>
  <c r="O102" i="10"/>
  <c r="P102" i="10"/>
  <c r="O103" i="10"/>
  <c r="P103" i="10"/>
  <c r="O104" i="10"/>
  <c r="P104" i="10"/>
  <c r="O105" i="10"/>
  <c r="P105" i="10"/>
  <c r="O106" i="10"/>
  <c r="P106" i="10"/>
  <c r="O107" i="10"/>
  <c r="P107" i="10"/>
  <c r="O108" i="10"/>
  <c r="P108" i="10"/>
  <c r="O109" i="10"/>
  <c r="P109" i="10"/>
  <c r="O110" i="10"/>
  <c r="P110" i="10"/>
  <c r="O111" i="10"/>
  <c r="P111" i="10"/>
  <c r="O112" i="10"/>
  <c r="P112" i="10"/>
  <c r="O113" i="10"/>
  <c r="P113" i="10"/>
  <c r="O114" i="10"/>
  <c r="P114" i="10"/>
  <c r="I151" i="4" l="1"/>
  <c r="I150" i="4"/>
  <c r="I144" i="4"/>
  <c r="I143" i="4"/>
  <c r="H148" i="4"/>
  <c r="H147" i="4"/>
  <c r="H146" i="4"/>
  <c r="H142" i="4"/>
  <c r="H141" i="4"/>
  <c r="H140" i="4"/>
  <c r="E151" i="4"/>
  <c r="E150" i="4"/>
  <c r="E144" i="4"/>
  <c r="E143" i="4"/>
  <c r="D151" i="4"/>
  <c r="D150" i="4"/>
  <c r="D144" i="4"/>
  <c r="D143" i="4"/>
  <c r="E148" i="4"/>
  <c r="E147" i="4"/>
  <c r="E146" i="4"/>
  <c r="D148" i="4"/>
  <c r="D147" i="4"/>
  <c r="D146" i="4"/>
  <c r="D142" i="4"/>
  <c r="D141" i="4"/>
  <c r="D140" i="4"/>
  <c r="E142" i="4"/>
  <c r="E141" i="4"/>
  <c r="E140" i="4"/>
  <c r="L184" i="4" l="1"/>
  <c r="L185" i="4"/>
  <c r="L186" i="4"/>
  <c r="L183" i="4"/>
  <c r="L178" i="4"/>
  <c r="D8" i="1" l="1"/>
  <c r="E26" i="19" l="1"/>
  <c r="N58" i="4" l="1"/>
  <c r="I58" i="4"/>
  <c r="F58" i="4"/>
  <c r="N54" i="4"/>
  <c r="I54" i="4"/>
  <c r="F54" i="4"/>
  <c r="N50" i="4"/>
  <c r="I50" i="4"/>
  <c r="F50" i="4"/>
  <c r="N46" i="4"/>
  <c r="I46" i="4"/>
  <c r="F46" i="4"/>
  <c r="N42" i="4"/>
  <c r="I42" i="4"/>
  <c r="F42" i="4"/>
  <c r="N38" i="4"/>
  <c r="I38" i="4"/>
  <c r="F38" i="4"/>
  <c r="N34" i="4"/>
  <c r="I34" i="4"/>
  <c r="F34" i="4"/>
  <c r="N30" i="4"/>
  <c r="I30" i="4"/>
  <c r="F30" i="4"/>
  <c r="N26" i="4"/>
  <c r="I26" i="4"/>
  <c r="F26" i="4"/>
  <c r="N22" i="4"/>
  <c r="I22" i="4"/>
  <c r="F22" i="4"/>
  <c r="N18" i="4"/>
  <c r="I18" i="4"/>
  <c r="F18" i="4"/>
  <c r="N10" i="4"/>
  <c r="I10" i="4"/>
  <c r="F10" i="4"/>
  <c r="A9" i="1" l="1"/>
  <c r="F151" i="4" l="1"/>
  <c r="G151" i="4" s="1"/>
  <c r="H151" i="4" s="1"/>
  <c r="J151" i="4" s="1"/>
  <c r="K151" i="4" s="1"/>
  <c r="L151" i="4" s="1"/>
  <c r="F150" i="4"/>
  <c r="G150" i="4" s="1"/>
  <c r="H150" i="4" s="1"/>
  <c r="J150" i="4" s="1"/>
  <c r="K150" i="4" s="1"/>
  <c r="L150" i="4" s="1"/>
  <c r="F148" i="4"/>
  <c r="G148" i="4" s="1"/>
  <c r="I148" i="4" s="1"/>
  <c r="J148" i="4" s="1"/>
  <c r="K148" i="4" s="1"/>
  <c r="L148" i="4" s="1"/>
  <c r="F147" i="4"/>
  <c r="G147" i="4" s="1"/>
  <c r="I147" i="4" s="1"/>
  <c r="J147" i="4" s="1"/>
  <c r="K147" i="4" s="1"/>
  <c r="L147" i="4" s="1"/>
  <c r="F146" i="4"/>
  <c r="G146" i="4" s="1"/>
  <c r="I146" i="4" s="1"/>
  <c r="J146" i="4" s="1"/>
  <c r="K146" i="4" s="1"/>
  <c r="L146" i="4" s="1"/>
  <c r="E26" i="18"/>
  <c r="F143" i="4" l="1"/>
  <c r="G143" i="4" s="1"/>
  <c r="H143" i="4" s="1"/>
  <c r="J143" i="4" s="1"/>
  <c r="K143" i="4" s="1"/>
  <c r="L143" i="4" s="1"/>
  <c r="O6" i="13"/>
  <c r="O7" i="13"/>
  <c r="O8" i="13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G154" i="4" l="1"/>
  <c r="E156" i="4"/>
  <c r="E153" i="4" s="1"/>
  <c r="C155" i="4"/>
  <c r="G153" i="4" l="1"/>
  <c r="G155" i="4" s="1"/>
  <c r="H153" i="4" s="1"/>
  <c r="E155" i="4"/>
  <c r="F155" i="4" s="1"/>
  <c r="C20" i="1"/>
  <c r="F153" i="4" l="1"/>
  <c r="F156" i="4"/>
  <c r="F154" i="4"/>
  <c r="H155" i="4"/>
  <c r="H154" i="4"/>
  <c r="N155" i="4" s="1"/>
  <c r="L20" i="1"/>
  <c r="K20" i="1"/>
  <c r="M155" i="4" l="1"/>
  <c r="L155" i="4"/>
  <c r="J155" i="4"/>
  <c r="N140" i="4" l="1"/>
  <c r="F140" i="4"/>
  <c r="G140" i="4" s="1"/>
  <c r="I140" i="4" s="1"/>
  <c r="J140" i="4" s="1"/>
  <c r="K140" i="4" s="1"/>
  <c r="L140" i="4" s="1"/>
  <c r="O38" i="13"/>
  <c r="E164" i="4" l="1"/>
  <c r="E174" i="4" l="1"/>
  <c r="E188" i="4"/>
  <c r="C187" i="4"/>
  <c r="G186" i="4"/>
  <c r="E184" i="4"/>
  <c r="E183" i="4"/>
  <c r="C173" i="4"/>
  <c r="E170" i="4"/>
  <c r="G170" i="4" s="1"/>
  <c r="E169" i="4"/>
  <c r="E168" i="4"/>
  <c r="C163" i="4"/>
  <c r="G162" i="4"/>
  <c r="E160" i="4"/>
  <c r="F102" i="10"/>
  <c r="G102" i="10"/>
  <c r="H102" i="10"/>
  <c r="I102" i="10"/>
  <c r="J102" i="10"/>
  <c r="K102" i="10"/>
  <c r="L102" i="10"/>
  <c r="M102" i="10"/>
  <c r="N102" i="10"/>
  <c r="Q102" i="10"/>
  <c r="F103" i="10"/>
  <c r="D17" i="4" s="1"/>
  <c r="G103" i="10"/>
  <c r="H103" i="10"/>
  <c r="F17" i="4" s="1"/>
  <c r="I103" i="10"/>
  <c r="J103" i="10"/>
  <c r="H17" i="4" s="1"/>
  <c r="K103" i="10"/>
  <c r="L103" i="10"/>
  <c r="J17" i="4" s="1"/>
  <c r="M103" i="10"/>
  <c r="N103" i="10"/>
  <c r="L17" i="4" s="1"/>
  <c r="N17" i="4"/>
  <c r="Q103" i="10"/>
  <c r="F104" i="10"/>
  <c r="G104" i="10"/>
  <c r="H104" i="10"/>
  <c r="I104" i="10"/>
  <c r="J104" i="10"/>
  <c r="K104" i="10"/>
  <c r="L104" i="10"/>
  <c r="M104" i="10"/>
  <c r="N104" i="10"/>
  <c r="Q104" i="10"/>
  <c r="F105" i="10"/>
  <c r="D21" i="4" s="1"/>
  <c r="G105" i="10"/>
  <c r="H105" i="10"/>
  <c r="F21" i="4" s="1"/>
  <c r="I105" i="10"/>
  <c r="J105" i="10"/>
  <c r="H21" i="4" s="1"/>
  <c r="K105" i="10"/>
  <c r="L105" i="10"/>
  <c r="J21" i="4" s="1"/>
  <c r="M105" i="10"/>
  <c r="N105" i="10"/>
  <c r="L21" i="4" s="1"/>
  <c r="N21" i="4"/>
  <c r="Q105" i="10"/>
  <c r="F106" i="10"/>
  <c r="G106" i="10"/>
  <c r="H106" i="10"/>
  <c r="I106" i="10"/>
  <c r="J106" i="10"/>
  <c r="K106" i="10"/>
  <c r="L106" i="10"/>
  <c r="M106" i="10"/>
  <c r="N106" i="10"/>
  <c r="Q106" i="10"/>
  <c r="F107" i="10"/>
  <c r="D29" i="4" s="1"/>
  <c r="G107" i="10"/>
  <c r="H107" i="10"/>
  <c r="I107" i="10"/>
  <c r="J107" i="10"/>
  <c r="K107" i="10"/>
  <c r="L107" i="10"/>
  <c r="M107" i="10"/>
  <c r="N107" i="10"/>
  <c r="Q107" i="10"/>
  <c r="F108" i="10"/>
  <c r="G108" i="10"/>
  <c r="H108" i="10"/>
  <c r="I108" i="10"/>
  <c r="J108" i="10"/>
  <c r="K108" i="10"/>
  <c r="L108" i="10"/>
  <c r="M108" i="10"/>
  <c r="N108" i="10"/>
  <c r="Q108" i="10"/>
  <c r="F109" i="10"/>
  <c r="G109" i="10"/>
  <c r="H109" i="10"/>
  <c r="I109" i="10"/>
  <c r="J109" i="10"/>
  <c r="K109" i="10"/>
  <c r="L109" i="10"/>
  <c r="M109" i="10"/>
  <c r="N109" i="10"/>
  <c r="Q109" i="10"/>
  <c r="F110" i="10"/>
  <c r="D33" i="4" s="1"/>
  <c r="G110" i="10"/>
  <c r="H110" i="10"/>
  <c r="F33" i="4" s="1"/>
  <c r="I110" i="10"/>
  <c r="J110" i="10"/>
  <c r="H33" i="4" s="1"/>
  <c r="K110" i="10"/>
  <c r="L110" i="10"/>
  <c r="J33" i="4" s="1"/>
  <c r="M110" i="10"/>
  <c r="N110" i="10"/>
  <c r="L33" i="4" s="1"/>
  <c r="N33" i="4"/>
  <c r="Q110" i="10"/>
  <c r="F111" i="10"/>
  <c r="G111" i="10"/>
  <c r="H111" i="10"/>
  <c r="I111" i="10"/>
  <c r="J111" i="10"/>
  <c r="K111" i="10"/>
  <c r="L111" i="10"/>
  <c r="M111" i="10"/>
  <c r="N111" i="10"/>
  <c r="Q111" i="10"/>
  <c r="F112" i="10"/>
  <c r="G112" i="10"/>
  <c r="H112" i="10"/>
  <c r="I112" i="10"/>
  <c r="J112" i="10"/>
  <c r="K112" i="10"/>
  <c r="L112" i="10"/>
  <c r="M112" i="10"/>
  <c r="N112" i="10"/>
  <c r="Q112" i="10"/>
  <c r="F113" i="10"/>
  <c r="G113" i="10"/>
  <c r="H113" i="10"/>
  <c r="I113" i="10"/>
  <c r="J113" i="10"/>
  <c r="K113" i="10"/>
  <c r="L113" i="10"/>
  <c r="M113" i="10"/>
  <c r="N113" i="10"/>
  <c r="Q113" i="10"/>
  <c r="F114" i="10"/>
  <c r="G114" i="10"/>
  <c r="H114" i="10"/>
  <c r="I114" i="10"/>
  <c r="J114" i="10"/>
  <c r="K114" i="10"/>
  <c r="L114" i="10"/>
  <c r="M114" i="10"/>
  <c r="N114" i="10"/>
  <c r="Q114" i="10"/>
  <c r="F115" i="10"/>
  <c r="G115" i="10"/>
  <c r="H115" i="10"/>
  <c r="I115" i="10"/>
  <c r="J115" i="10"/>
  <c r="K115" i="10"/>
  <c r="L115" i="10"/>
  <c r="M115" i="10"/>
  <c r="N115" i="10"/>
  <c r="O115" i="10"/>
  <c r="P115" i="10"/>
  <c r="Q115" i="10"/>
  <c r="F116" i="10"/>
  <c r="G116" i="10"/>
  <c r="H116" i="10"/>
  <c r="I116" i="10"/>
  <c r="J116" i="10"/>
  <c r="K116" i="10"/>
  <c r="L116" i="10"/>
  <c r="M116" i="10"/>
  <c r="N116" i="10"/>
  <c r="O116" i="10"/>
  <c r="P116" i="10"/>
  <c r="Q116" i="10"/>
  <c r="F117" i="10"/>
  <c r="G117" i="10"/>
  <c r="H117" i="10"/>
  <c r="I117" i="10"/>
  <c r="J117" i="10"/>
  <c r="K117" i="10"/>
  <c r="L117" i="10"/>
  <c r="M117" i="10"/>
  <c r="N117" i="10"/>
  <c r="O117" i="10"/>
  <c r="P117" i="10"/>
  <c r="Q117" i="10"/>
  <c r="F118" i="10"/>
  <c r="G118" i="10"/>
  <c r="H118" i="10"/>
  <c r="I118" i="10"/>
  <c r="J118" i="10"/>
  <c r="K118" i="10"/>
  <c r="L118" i="10"/>
  <c r="M118" i="10"/>
  <c r="N118" i="10"/>
  <c r="O118" i="10"/>
  <c r="P118" i="10"/>
  <c r="Q118" i="10"/>
  <c r="F119" i="10"/>
  <c r="D49" i="4" s="1"/>
  <c r="G119" i="10"/>
  <c r="H119" i="10"/>
  <c r="F49" i="4" s="1"/>
  <c r="I119" i="10"/>
  <c r="J119" i="10"/>
  <c r="H49" i="4" s="1"/>
  <c r="K119" i="10"/>
  <c r="L119" i="10"/>
  <c r="J49" i="4" s="1"/>
  <c r="M119" i="10"/>
  <c r="N119" i="10"/>
  <c r="L49" i="4" s="1"/>
  <c r="O119" i="10"/>
  <c r="P119" i="10"/>
  <c r="N49" i="4" s="1"/>
  <c r="Q119" i="10"/>
  <c r="F120" i="10"/>
  <c r="D53" i="4" s="1"/>
  <c r="G120" i="10"/>
  <c r="H120" i="10"/>
  <c r="F53" i="4" s="1"/>
  <c r="I120" i="10"/>
  <c r="J120" i="10"/>
  <c r="H53" i="4" s="1"/>
  <c r="K120" i="10"/>
  <c r="L120" i="10"/>
  <c r="J53" i="4" s="1"/>
  <c r="M120" i="10"/>
  <c r="N120" i="10"/>
  <c r="L53" i="4" s="1"/>
  <c r="O120" i="10"/>
  <c r="P120" i="10"/>
  <c r="N53" i="4" s="1"/>
  <c r="Q120" i="10"/>
  <c r="F121" i="10"/>
  <c r="G121" i="10"/>
  <c r="H121" i="10"/>
  <c r="I121" i="10"/>
  <c r="J121" i="10"/>
  <c r="K121" i="10"/>
  <c r="L121" i="10"/>
  <c r="M121" i="10"/>
  <c r="N121" i="10"/>
  <c r="O121" i="10"/>
  <c r="P121" i="10"/>
  <c r="Q121" i="10"/>
  <c r="F122" i="10"/>
  <c r="G122" i="10"/>
  <c r="H122" i="10"/>
  <c r="I122" i="10"/>
  <c r="J122" i="10"/>
  <c r="K122" i="10"/>
  <c r="L122" i="10"/>
  <c r="M122" i="10"/>
  <c r="N122" i="10"/>
  <c r="O122" i="10"/>
  <c r="P122" i="10"/>
  <c r="Q122" i="10"/>
  <c r="F123" i="10"/>
  <c r="G123" i="10"/>
  <c r="H123" i="10"/>
  <c r="I123" i="10"/>
  <c r="J123" i="10"/>
  <c r="K123" i="10"/>
  <c r="L123" i="10"/>
  <c r="M123" i="10"/>
  <c r="N123" i="10"/>
  <c r="O123" i="10"/>
  <c r="P123" i="10"/>
  <c r="Q123" i="10"/>
  <c r="F124" i="10"/>
  <c r="G124" i="10"/>
  <c r="H124" i="10"/>
  <c r="I124" i="10"/>
  <c r="J124" i="10"/>
  <c r="K124" i="10"/>
  <c r="L124" i="10"/>
  <c r="M124" i="10"/>
  <c r="N124" i="10"/>
  <c r="O124" i="10"/>
  <c r="P124" i="10"/>
  <c r="Q124" i="10"/>
  <c r="F125" i="10"/>
  <c r="G125" i="10"/>
  <c r="H125" i="10"/>
  <c r="I125" i="10"/>
  <c r="J125" i="10"/>
  <c r="K125" i="10"/>
  <c r="L125" i="10"/>
  <c r="M125" i="10"/>
  <c r="N125" i="10"/>
  <c r="O125" i="10"/>
  <c r="P125" i="10"/>
  <c r="Q125" i="10"/>
  <c r="F126" i="10"/>
  <c r="G126" i="10"/>
  <c r="H126" i="10"/>
  <c r="I126" i="10"/>
  <c r="J126" i="10"/>
  <c r="K126" i="10"/>
  <c r="L126" i="10"/>
  <c r="M126" i="10"/>
  <c r="N126" i="10"/>
  <c r="O126" i="10"/>
  <c r="P126" i="10"/>
  <c r="Q126" i="10"/>
  <c r="Q101" i="10"/>
  <c r="N101" i="10"/>
  <c r="M101" i="10"/>
  <c r="L101" i="10"/>
  <c r="K101" i="10"/>
  <c r="J101" i="10"/>
  <c r="I101" i="10"/>
  <c r="H101" i="10"/>
  <c r="G101" i="10"/>
  <c r="F101" i="10"/>
  <c r="F78" i="10"/>
  <c r="G78" i="10"/>
  <c r="H78" i="10"/>
  <c r="I78" i="10"/>
  <c r="J78" i="10"/>
  <c r="K78" i="10"/>
  <c r="L78" i="10"/>
  <c r="M78" i="10"/>
  <c r="N78" i="10"/>
  <c r="Q78" i="10"/>
  <c r="F79" i="10"/>
  <c r="G79" i="10"/>
  <c r="H79" i="10"/>
  <c r="I79" i="10"/>
  <c r="J79" i="10"/>
  <c r="K79" i="10"/>
  <c r="L79" i="10"/>
  <c r="M79" i="10"/>
  <c r="N79" i="10"/>
  <c r="Q79" i="10"/>
  <c r="F80" i="10"/>
  <c r="G80" i="10"/>
  <c r="H80" i="10"/>
  <c r="I80" i="10"/>
  <c r="J80" i="10"/>
  <c r="K80" i="10"/>
  <c r="L80" i="10"/>
  <c r="M80" i="10"/>
  <c r="N80" i="10"/>
  <c r="Q80" i="10"/>
  <c r="F81" i="10"/>
  <c r="G81" i="10"/>
  <c r="H81" i="10"/>
  <c r="I81" i="10"/>
  <c r="J81" i="10"/>
  <c r="K81" i="10"/>
  <c r="L81" i="10"/>
  <c r="M81" i="10"/>
  <c r="N81" i="10"/>
  <c r="Q81" i="10"/>
  <c r="F82" i="10"/>
  <c r="G82" i="10"/>
  <c r="H82" i="10"/>
  <c r="I82" i="10"/>
  <c r="J82" i="10"/>
  <c r="K82" i="10"/>
  <c r="L82" i="10"/>
  <c r="M82" i="10"/>
  <c r="N82" i="10"/>
  <c r="Q82" i="10"/>
  <c r="F83" i="10"/>
  <c r="G83" i="10"/>
  <c r="H83" i="10"/>
  <c r="I83" i="10"/>
  <c r="J83" i="10"/>
  <c r="K83" i="10"/>
  <c r="L83" i="10"/>
  <c r="M83" i="10"/>
  <c r="N83" i="10"/>
  <c r="Q83" i="10"/>
  <c r="F84" i="10"/>
  <c r="G84" i="10"/>
  <c r="H84" i="10"/>
  <c r="I84" i="10"/>
  <c r="J84" i="10"/>
  <c r="K84" i="10"/>
  <c r="L84" i="10"/>
  <c r="M84" i="10"/>
  <c r="N84" i="10"/>
  <c r="Q84" i="10"/>
  <c r="F85" i="10"/>
  <c r="G85" i="10"/>
  <c r="H85" i="10"/>
  <c r="I85" i="10"/>
  <c r="J85" i="10"/>
  <c r="K85" i="10"/>
  <c r="L85" i="10"/>
  <c r="M85" i="10"/>
  <c r="N85" i="10"/>
  <c r="Q85" i="10"/>
  <c r="F86" i="10"/>
  <c r="G86" i="10"/>
  <c r="H86" i="10"/>
  <c r="I86" i="10"/>
  <c r="J86" i="10"/>
  <c r="K86" i="10"/>
  <c r="L86" i="10"/>
  <c r="M86" i="10"/>
  <c r="N86" i="10"/>
  <c r="Q86" i="10"/>
  <c r="F87" i="10"/>
  <c r="G87" i="10"/>
  <c r="H87" i="10"/>
  <c r="I87" i="10"/>
  <c r="J87" i="10"/>
  <c r="K87" i="10"/>
  <c r="L87" i="10"/>
  <c r="M87" i="10"/>
  <c r="N87" i="10"/>
  <c r="Q87" i="10"/>
  <c r="F88" i="10"/>
  <c r="G88" i="10"/>
  <c r="H88" i="10"/>
  <c r="I88" i="10"/>
  <c r="J88" i="10"/>
  <c r="K88" i="10"/>
  <c r="L88" i="10"/>
  <c r="M88" i="10"/>
  <c r="N88" i="10"/>
  <c r="Q88" i="10"/>
  <c r="F89" i="10"/>
  <c r="G89" i="10"/>
  <c r="H89" i="10"/>
  <c r="I89" i="10"/>
  <c r="J89" i="10"/>
  <c r="K89" i="10"/>
  <c r="L89" i="10"/>
  <c r="M89" i="10"/>
  <c r="N89" i="10"/>
  <c r="Q89" i="10"/>
  <c r="F90" i="10"/>
  <c r="G90" i="10"/>
  <c r="H90" i="10"/>
  <c r="I90" i="10"/>
  <c r="J90" i="10"/>
  <c r="K90" i="10"/>
  <c r="L90" i="10"/>
  <c r="M90" i="10"/>
  <c r="N90" i="10"/>
  <c r="Q90" i="10"/>
  <c r="F91" i="10"/>
  <c r="G91" i="10"/>
  <c r="H91" i="10"/>
  <c r="I91" i="10"/>
  <c r="J91" i="10"/>
  <c r="K91" i="10"/>
  <c r="L91" i="10"/>
  <c r="M91" i="10"/>
  <c r="N91" i="10"/>
  <c r="Q91" i="10"/>
  <c r="F92" i="10"/>
  <c r="G92" i="10"/>
  <c r="H92" i="10"/>
  <c r="I92" i="10"/>
  <c r="J92" i="10"/>
  <c r="K92" i="10"/>
  <c r="L92" i="10"/>
  <c r="M92" i="10"/>
  <c r="N92" i="10"/>
  <c r="Q92" i="10"/>
  <c r="F93" i="10"/>
  <c r="G93" i="10"/>
  <c r="H93" i="10"/>
  <c r="I93" i="10"/>
  <c r="J93" i="10"/>
  <c r="K93" i="10"/>
  <c r="L93" i="10"/>
  <c r="M93" i="10"/>
  <c r="N93" i="10"/>
  <c r="Q93" i="10"/>
  <c r="F94" i="10"/>
  <c r="G94" i="10"/>
  <c r="H94" i="10"/>
  <c r="I94" i="10"/>
  <c r="J94" i="10"/>
  <c r="K94" i="10"/>
  <c r="L94" i="10"/>
  <c r="M94" i="10"/>
  <c r="N94" i="10"/>
  <c r="Q94" i="10"/>
  <c r="G62" i="10"/>
  <c r="H62" i="10"/>
  <c r="I62" i="10"/>
  <c r="J62" i="10"/>
  <c r="K62" i="10"/>
  <c r="L62" i="10"/>
  <c r="M62" i="10"/>
  <c r="N62" i="10"/>
  <c r="Q62" i="10"/>
  <c r="G63" i="10"/>
  <c r="H63" i="10"/>
  <c r="I63" i="10"/>
  <c r="J63" i="10"/>
  <c r="K63" i="10"/>
  <c r="L63" i="10"/>
  <c r="M63" i="10"/>
  <c r="N63" i="10"/>
  <c r="Q63" i="10"/>
  <c r="G64" i="10"/>
  <c r="H64" i="10"/>
  <c r="I64" i="10"/>
  <c r="J64" i="10"/>
  <c r="K64" i="10"/>
  <c r="L64" i="10"/>
  <c r="M64" i="10"/>
  <c r="N64" i="10"/>
  <c r="Q64" i="10"/>
  <c r="G65" i="10"/>
  <c r="H65" i="10"/>
  <c r="I65" i="10"/>
  <c r="J65" i="10"/>
  <c r="K65" i="10"/>
  <c r="L65" i="10"/>
  <c r="M65" i="10"/>
  <c r="N65" i="10"/>
  <c r="Q65" i="10"/>
  <c r="G66" i="10"/>
  <c r="H66" i="10"/>
  <c r="I66" i="10"/>
  <c r="J66" i="10"/>
  <c r="K66" i="10"/>
  <c r="L66" i="10"/>
  <c r="M66" i="10"/>
  <c r="N66" i="10"/>
  <c r="Q66" i="10"/>
  <c r="G67" i="10"/>
  <c r="H67" i="10"/>
  <c r="I67" i="10"/>
  <c r="J67" i="10"/>
  <c r="K67" i="10"/>
  <c r="L67" i="10"/>
  <c r="M67" i="10"/>
  <c r="N67" i="10"/>
  <c r="Q67" i="10"/>
  <c r="G68" i="10"/>
  <c r="H68" i="10"/>
  <c r="I68" i="10"/>
  <c r="J68" i="10"/>
  <c r="K68" i="10"/>
  <c r="L68" i="10"/>
  <c r="M68" i="10"/>
  <c r="N68" i="10"/>
  <c r="Q68" i="10"/>
  <c r="G69" i="10"/>
  <c r="H69" i="10"/>
  <c r="I69" i="10"/>
  <c r="J69" i="10"/>
  <c r="K69" i="10"/>
  <c r="L69" i="10"/>
  <c r="M69" i="10"/>
  <c r="N69" i="10"/>
  <c r="Q69" i="10"/>
  <c r="G70" i="10"/>
  <c r="H70" i="10"/>
  <c r="I70" i="10"/>
  <c r="J70" i="10"/>
  <c r="K70" i="10"/>
  <c r="L70" i="10"/>
  <c r="M70" i="10"/>
  <c r="N70" i="10"/>
  <c r="Q70" i="10"/>
  <c r="G71" i="10"/>
  <c r="H71" i="10"/>
  <c r="I71" i="10"/>
  <c r="J71" i="10"/>
  <c r="K71" i="10"/>
  <c r="L71" i="10"/>
  <c r="M71" i="10"/>
  <c r="N71" i="10"/>
  <c r="Q71" i="10"/>
  <c r="G72" i="10"/>
  <c r="H72" i="10"/>
  <c r="I72" i="10"/>
  <c r="J72" i="10"/>
  <c r="K72" i="10"/>
  <c r="L72" i="10"/>
  <c r="M72" i="10"/>
  <c r="N72" i="10"/>
  <c r="Q72" i="10"/>
  <c r="G73" i="10"/>
  <c r="H73" i="10"/>
  <c r="I73" i="10"/>
  <c r="J73" i="10"/>
  <c r="K73" i="10"/>
  <c r="L73" i="10"/>
  <c r="M73" i="10"/>
  <c r="N73" i="10"/>
  <c r="Q73" i="10"/>
  <c r="G74" i="10"/>
  <c r="H74" i="10"/>
  <c r="I74" i="10"/>
  <c r="J74" i="10"/>
  <c r="K74" i="10"/>
  <c r="L74" i="10"/>
  <c r="M74" i="10"/>
  <c r="N74" i="10"/>
  <c r="Q74" i="10"/>
  <c r="G75" i="10"/>
  <c r="H75" i="10"/>
  <c r="I75" i="10"/>
  <c r="J75" i="10"/>
  <c r="K75" i="10"/>
  <c r="L75" i="10"/>
  <c r="M75" i="10"/>
  <c r="N75" i="10"/>
  <c r="Q75" i="10"/>
  <c r="G76" i="10"/>
  <c r="H76" i="10"/>
  <c r="I76" i="10"/>
  <c r="J76" i="10"/>
  <c r="K76" i="10"/>
  <c r="L76" i="10"/>
  <c r="M76" i="10"/>
  <c r="N76" i="10"/>
  <c r="Q76" i="10"/>
  <c r="G77" i="10"/>
  <c r="H77" i="10"/>
  <c r="I77" i="10"/>
  <c r="J77" i="10"/>
  <c r="K77" i="10"/>
  <c r="L77" i="10"/>
  <c r="M77" i="10"/>
  <c r="N77" i="10"/>
  <c r="Q77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62" i="10"/>
  <c r="G100" i="10"/>
  <c r="H100" i="10"/>
  <c r="I100" i="10"/>
  <c r="J100" i="10"/>
  <c r="K100" i="10"/>
  <c r="L100" i="10"/>
  <c r="M100" i="10"/>
  <c r="N100" i="10"/>
  <c r="Q100" i="10"/>
  <c r="F100" i="10"/>
  <c r="G61" i="10"/>
  <c r="H61" i="10"/>
  <c r="I61" i="10"/>
  <c r="J61" i="10"/>
  <c r="K61" i="10"/>
  <c r="L61" i="10"/>
  <c r="M61" i="10"/>
  <c r="N61" i="10"/>
  <c r="Q61" i="10"/>
  <c r="F61" i="10"/>
  <c r="O5" i="13"/>
  <c r="C36" i="13"/>
  <c r="D36" i="13"/>
  <c r="E36" i="13"/>
  <c r="F36" i="13"/>
  <c r="G36" i="13"/>
  <c r="H36" i="13"/>
  <c r="I36" i="13"/>
  <c r="J36" i="13"/>
  <c r="K36" i="13"/>
  <c r="L36" i="13"/>
  <c r="M36" i="13"/>
  <c r="N36" i="13"/>
  <c r="O42" i="13"/>
  <c r="D2" i="4"/>
  <c r="D3" i="4"/>
  <c r="E2" i="4"/>
  <c r="E3" i="4"/>
  <c r="F2" i="4"/>
  <c r="F3" i="4"/>
  <c r="G2" i="4"/>
  <c r="G3" i="4"/>
  <c r="H2" i="4"/>
  <c r="H3" i="4"/>
  <c r="I2" i="4"/>
  <c r="I3" i="4"/>
  <c r="J2" i="4"/>
  <c r="J3" i="4"/>
  <c r="K2" i="4"/>
  <c r="K3" i="4"/>
  <c r="L2" i="4"/>
  <c r="L3" i="4"/>
  <c r="M2" i="4"/>
  <c r="M3" i="4"/>
  <c r="N2" i="4"/>
  <c r="N3" i="4"/>
  <c r="O2" i="4"/>
  <c r="O3" i="4"/>
  <c r="J20" i="1"/>
  <c r="I20" i="1"/>
  <c r="D38" i="4"/>
  <c r="D9" i="1"/>
  <c r="E38" i="4"/>
  <c r="D10" i="1"/>
  <c r="D11" i="1"/>
  <c r="G38" i="4"/>
  <c r="D12" i="1"/>
  <c r="H38" i="4"/>
  <c r="D13" i="1"/>
  <c r="D14" i="1"/>
  <c r="D15" i="1"/>
  <c r="D16" i="1"/>
  <c r="D17" i="1"/>
  <c r="M38" i="4"/>
  <c r="D18" i="1"/>
  <c r="D19" i="1"/>
  <c r="O38" i="4"/>
  <c r="D42" i="4"/>
  <c r="E42" i="4"/>
  <c r="G42" i="4"/>
  <c r="H42" i="4"/>
  <c r="M42" i="4"/>
  <c r="O42" i="4"/>
  <c r="D46" i="4"/>
  <c r="E46" i="4"/>
  <c r="G46" i="4"/>
  <c r="H46" i="4"/>
  <c r="M46" i="4"/>
  <c r="O46" i="4"/>
  <c r="D50" i="4"/>
  <c r="E50" i="4"/>
  <c r="G50" i="4"/>
  <c r="H50" i="4"/>
  <c r="M50" i="4"/>
  <c r="O50" i="4"/>
  <c r="D54" i="4"/>
  <c r="E54" i="4"/>
  <c r="G54" i="4"/>
  <c r="H54" i="4"/>
  <c r="M54" i="4"/>
  <c r="O54" i="4"/>
  <c r="D58" i="4"/>
  <c r="E58" i="4"/>
  <c r="G58" i="4"/>
  <c r="H58" i="4"/>
  <c r="M58" i="4"/>
  <c r="O58" i="4"/>
  <c r="D10" i="4"/>
  <c r="E10" i="4"/>
  <c r="G10" i="4"/>
  <c r="H10" i="4"/>
  <c r="M10" i="4"/>
  <c r="O10" i="4"/>
  <c r="D14" i="4"/>
  <c r="E14" i="4"/>
  <c r="F14" i="4"/>
  <c r="G14" i="4"/>
  <c r="H14" i="4"/>
  <c r="I14" i="4"/>
  <c r="M14" i="4"/>
  <c r="N14" i="4"/>
  <c r="O14" i="4"/>
  <c r="D18" i="4"/>
  <c r="E18" i="4"/>
  <c r="G18" i="4"/>
  <c r="H18" i="4"/>
  <c r="M18" i="4"/>
  <c r="O18" i="4"/>
  <c r="D22" i="4"/>
  <c r="E22" i="4"/>
  <c r="G22" i="4"/>
  <c r="H22" i="4"/>
  <c r="M22" i="4"/>
  <c r="O22" i="4"/>
  <c r="D26" i="4"/>
  <c r="E26" i="4"/>
  <c r="G26" i="4"/>
  <c r="H26" i="4"/>
  <c r="M26" i="4"/>
  <c r="O26" i="4"/>
  <c r="D30" i="4"/>
  <c r="E30" i="4"/>
  <c r="G30" i="4"/>
  <c r="H30" i="4"/>
  <c r="M30" i="4"/>
  <c r="O30" i="4"/>
  <c r="D34" i="4"/>
  <c r="E34" i="4"/>
  <c r="G34" i="4"/>
  <c r="H34" i="4"/>
  <c r="M34" i="4"/>
  <c r="O34" i="4"/>
  <c r="A10" i="1"/>
  <c r="A11" i="1" s="1"/>
  <c r="A12" i="1" s="1"/>
  <c r="A13" i="1" s="1"/>
  <c r="A14" i="1" s="1"/>
  <c r="A15" i="1" s="1"/>
  <c r="A16" i="1" s="1"/>
  <c r="H20" i="1"/>
  <c r="G9" i="1"/>
  <c r="G20" i="1" s="1"/>
  <c r="B20" i="1"/>
  <c r="O4" i="4" l="1"/>
  <c r="M4" i="4"/>
  <c r="K4" i="4"/>
  <c r="I4" i="4"/>
  <c r="E4" i="4"/>
  <c r="L4" i="4"/>
  <c r="J4" i="4"/>
  <c r="J52" i="4" s="1"/>
  <c r="C2" i="4"/>
  <c r="C3" i="4"/>
  <c r="C147" i="4"/>
  <c r="M44" i="13"/>
  <c r="M40" i="13"/>
  <c r="K44" i="13"/>
  <c r="K40" i="13"/>
  <c r="I44" i="13"/>
  <c r="I40" i="13"/>
  <c r="G44" i="13"/>
  <c r="G40" i="13"/>
  <c r="E44" i="13"/>
  <c r="E40" i="13"/>
  <c r="C44" i="13"/>
  <c r="C40" i="13"/>
  <c r="N44" i="13"/>
  <c r="N40" i="13"/>
  <c r="L44" i="13"/>
  <c r="L40" i="13"/>
  <c r="J44" i="13"/>
  <c r="J40" i="13"/>
  <c r="H44" i="13"/>
  <c r="H40" i="13"/>
  <c r="F44" i="13"/>
  <c r="F40" i="13"/>
  <c r="D44" i="13"/>
  <c r="D40" i="13"/>
  <c r="H4" i="4"/>
  <c r="H52" i="4" s="1"/>
  <c r="G4" i="4"/>
  <c r="F4" i="4"/>
  <c r="F32" i="4" s="1"/>
  <c r="D4" i="4"/>
  <c r="D20" i="4" s="1"/>
  <c r="E171" i="4"/>
  <c r="E172" i="4" s="1"/>
  <c r="E185" i="4"/>
  <c r="E187" i="4" s="1"/>
  <c r="E161" i="4"/>
  <c r="G161" i="4" s="1"/>
  <c r="G160" i="4"/>
  <c r="G169" i="4"/>
  <c r="G184" i="4"/>
  <c r="C146" i="4"/>
  <c r="C148" i="4"/>
  <c r="G168" i="4"/>
  <c r="G183" i="4"/>
  <c r="O9" i="4"/>
  <c r="M9" i="4"/>
  <c r="K9" i="4"/>
  <c r="I9" i="4"/>
  <c r="G9" i="4"/>
  <c r="E9" i="4"/>
  <c r="O13" i="4"/>
  <c r="M13" i="4"/>
  <c r="K13" i="4"/>
  <c r="I13" i="4"/>
  <c r="G13" i="4"/>
  <c r="E13" i="4"/>
  <c r="O17" i="4"/>
  <c r="M17" i="4"/>
  <c r="K17" i="4"/>
  <c r="I17" i="4"/>
  <c r="G17" i="4"/>
  <c r="E17" i="4"/>
  <c r="O21" i="4"/>
  <c r="M21" i="4"/>
  <c r="K21" i="4"/>
  <c r="I21" i="4"/>
  <c r="G21" i="4"/>
  <c r="E21" i="4"/>
  <c r="O25" i="4"/>
  <c r="M25" i="4"/>
  <c r="K25" i="4"/>
  <c r="I25" i="4"/>
  <c r="G25" i="4"/>
  <c r="E25" i="4"/>
  <c r="N29" i="4"/>
  <c r="L29" i="4"/>
  <c r="J29" i="4"/>
  <c r="H29" i="4"/>
  <c r="F29" i="4"/>
  <c r="O29" i="4"/>
  <c r="O33" i="4"/>
  <c r="M33" i="4"/>
  <c r="K33" i="4"/>
  <c r="I33" i="4"/>
  <c r="G33" i="4"/>
  <c r="E33" i="4"/>
  <c r="O37" i="4"/>
  <c r="M37" i="4"/>
  <c r="K37" i="4"/>
  <c r="I37" i="4"/>
  <c r="G37" i="4"/>
  <c r="E37" i="4"/>
  <c r="O41" i="4"/>
  <c r="M41" i="4"/>
  <c r="K41" i="4"/>
  <c r="I41" i="4"/>
  <c r="G41" i="4"/>
  <c r="E41" i="4"/>
  <c r="O45" i="4"/>
  <c r="M45" i="4"/>
  <c r="K45" i="4"/>
  <c r="I45" i="4"/>
  <c r="G45" i="4"/>
  <c r="E45" i="4"/>
  <c r="O49" i="4"/>
  <c r="M49" i="4"/>
  <c r="K49" i="4"/>
  <c r="I49" i="4"/>
  <c r="G49" i="4"/>
  <c r="E49" i="4"/>
  <c r="O53" i="4"/>
  <c r="M53" i="4"/>
  <c r="K53" i="4"/>
  <c r="I53" i="4"/>
  <c r="G53" i="4"/>
  <c r="E53" i="4"/>
  <c r="O57" i="4"/>
  <c r="M57" i="4"/>
  <c r="K57" i="4"/>
  <c r="I57" i="4"/>
  <c r="G57" i="4"/>
  <c r="E57" i="4"/>
  <c r="D9" i="4"/>
  <c r="N9" i="4"/>
  <c r="L9" i="4"/>
  <c r="J9" i="4"/>
  <c r="H9" i="4"/>
  <c r="F9" i="4"/>
  <c r="D13" i="4"/>
  <c r="N13" i="4"/>
  <c r="L13" i="4"/>
  <c r="J13" i="4"/>
  <c r="H13" i="4"/>
  <c r="F13" i="4"/>
  <c r="D25" i="4"/>
  <c r="N25" i="4"/>
  <c r="L25" i="4"/>
  <c r="J25" i="4"/>
  <c r="H25" i="4"/>
  <c r="F25" i="4"/>
  <c r="M29" i="4"/>
  <c r="K29" i="4"/>
  <c r="I29" i="4"/>
  <c r="G29" i="4"/>
  <c r="E29" i="4"/>
  <c r="D37" i="4"/>
  <c r="N37" i="4"/>
  <c r="L37" i="4"/>
  <c r="J37" i="4"/>
  <c r="H37" i="4"/>
  <c r="F37" i="4"/>
  <c r="D41" i="4"/>
  <c r="N41" i="4"/>
  <c r="L41" i="4"/>
  <c r="J41" i="4"/>
  <c r="H41" i="4"/>
  <c r="F41" i="4"/>
  <c r="D45" i="4"/>
  <c r="N45" i="4"/>
  <c r="L45" i="4"/>
  <c r="J45" i="4"/>
  <c r="H45" i="4"/>
  <c r="F45" i="4"/>
  <c r="D57" i="4"/>
  <c r="N57" i="4"/>
  <c r="L57" i="4"/>
  <c r="J57" i="4"/>
  <c r="H57" i="4"/>
  <c r="F57" i="4"/>
  <c r="D20" i="1"/>
  <c r="N4" i="4"/>
  <c r="N52" i="4" s="1"/>
  <c r="O36" i="13"/>
  <c r="L20" i="4" l="1"/>
  <c r="E28" i="4"/>
  <c r="J44" i="4"/>
  <c r="J36" i="4"/>
  <c r="O56" i="4"/>
  <c r="O48" i="4"/>
  <c r="O40" i="4"/>
  <c r="D24" i="4"/>
  <c r="O32" i="4"/>
  <c r="O70" i="4" s="1"/>
  <c r="O101" i="4" s="1"/>
  <c r="I56" i="4"/>
  <c r="I48" i="4"/>
  <c r="I40" i="4"/>
  <c r="I32" i="4"/>
  <c r="I70" i="4" s="1"/>
  <c r="I101" i="4" s="1"/>
  <c r="I24" i="4"/>
  <c r="I16" i="4"/>
  <c r="I8" i="4"/>
  <c r="G56" i="4"/>
  <c r="G48" i="4"/>
  <c r="G40" i="4"/>
  <c r="G32" i="4"/>
  <c r="G70" i="4" s="1"/>
  <c r="G24" i="4"/>
  <c r="O24" i="4"/>
  <c r="G16" i="4"/>
  <c r="O16" i="4"/>
  <c r="G8" i="4"/>
  <c r="O8" i="4"/>
  <c r="H56" i="4"/>
  <c r="H40" i="4"/>
  <c r="M56" i="4"/>
  <c r="M48" i="4"/>
  <c r="M40" i="4"/>
  <c r="M32" i="4"/>
  <c r="M70" i="4" s="1"/>
  <c r="M101" i="4" s="1"/>
  <c r="M24" i="4"/>
  <c r="M16" i="4"/>
  <c r="M8" i="4"/>
  <c r="K56" i="4"/>
  <c r="K48" i="4"/>
  <c r="K40" i="4"/>
  <c r="K32" i="4"/>
  <c r="K70" i="4" s="1"/>
  <c r="K101" i="4" s="1"/>
  <c r="K24" i="4"/>
  <c r="K16" i="4"/>
  <c r="K8" i="4"/>
  <c r="J20" i="4"/>
  <c r="K28" i="4"/>
  <c r="N48" i="4"/>
  <c r="M28" i="4"/>
  <c r="K52" i="4"/>
  <c r="K44" i="4"/>
  <c r="K36" i="4"/>
  <c r="K20" i="4"/>
  <c r="K12" i="4"/>
  <c r="D48" i="4"/>
  <c r="D28" i="4"/>
  <c r="O52" i="4"/>
  <c r="O44" i="4"/>
  <c r="O36" i="4"/>
  <c r="O20" i="4"/>
  <c r="O12" i="4"/>
  <c r="J32" i="4"/>
  <c r="J70" i="4" s="1"/>
  <c r="J101" i="4" s="1"/>
  <c r="M52" i="4"/>
  <c r="E44" i="4"/>
  <c r="M44" i="4"/>
  <c r="E36" i="4"/>
  <c r="M36" i="4"/>
  <c r="O28" i="4"/>
  <c r="E20" i="4"/>
  <c r="M20" i="4"/>
  <c r="E12" i="4"/>
  <c r="M12" i="4"/>
  <c r="N16" i="4"/>
  <c r="J24" i="4"/>
  <c r="J8" i="4"/>
  <c r="E56" i="4"/>
  <c r="I52" i="4"/>
  <c r="I44" i="4"/>
  <c r="E40" i="4"/>
  <c r="I36" i="4"/>
  <c r="E32" i="4"/>
  <c r="E70" i="4" s="1"/>
  <c r="E24" i="4"/>
  <c r="I20" i="4"/>
  <c r="I12" i="4"/>
  <c r="E8" i="4"/>
  <c r="J56" i="4"/>
  <c r="J40" i="4"/>
  <c r="I28" i="4"/>
  <c r="J16" i="4"/>
  <c r="F48" i="4"/>
  <c r="G28" i="4"/>
  <c r="L56" i="4"/>
  <c r="L40" i="4"/>
  <c r="L48" i="4"/>
  <c r="L52" i="4"/>
  <c r="H8" i="4"/>
  <c r="D16" i="4"/>
  <c r="D52" i="4"/>
  <c r="F16" i="4"/>
  <c r="F36" i="4"/>
  <c r="L12" i="4"/>
  <c r="F28" i="4"/>
  <c r="L16" i="4"/>
  <c r="F52" i="4"/>
  <c r="F20" i="4"/>
  <c r="D32" i="4"/>
  <c r="D70" i="4" s="1"/>
  <c r="L32" i="4"/>
  <c r="L70" i="4" s="1"/>
  <c r="L101" i="4" s="1"/>
  <c r="D56" i="4"/>
  <c r="L44" i="4"/>
  <c r="D40" i="4"/>
  <c r="L36" i="4"/>
  <c r="F24" i="4"/>
  <c r="N24" i="4"/>
  <c r="F8" i="4"/>
  <c r="N8" i="4"/>
  <c r="L28" i="4"/>
  <c r="F44" i="4"/>
  <c r="L24" i="4"/>
  <c r="L8" i="4"/>
  <c r="H12" i="4"/>
  <c r="N32" i="4"/>
  <c r="N70" i="4" s="1"/>
  <c r="N101" i="4" s="1"/>
  <c r="H16" i="4"/>
  <c r="H32" i="4"/>
  <c r="H70" i="4" s="1"/>
  <c r="H44" i="4"/>
  <c r="H36" i="4"/>
  <c r="H28" i="4"/>
  <c r="H20" i="4"/>
  <c r="H48" i="4"/>
  <c r="H24" i="4"/>
  <c r="G52" i="4"/>
  <c r="G44" i="4"/>
  <c r="G36" i="4"/>
  <c r="G20" i="4"/>
  <c r="G12" i="4"/>
  <c r="F56" i="4"/>
  <c r="F40" i="4"/>
  <c r="D44" i="4"/>
  <c r="D36" i="4"/>
  <c r="C4" i="4"/>
  <c r="J48" i="4"/>
  <c r="J12" i="4"/>
  <c r="O44" i="13"/>
  <c r="N20" i="4"/>
  <c r="N12" i="4"/>
  <c r="F12" i="4"/>
  <c r="N28" i="4"/>
  <c r="J28" i="4"/>
  <c r="O40" i="13"/>
  <c r="G171" i="4"/>
  <c r="D12" i="4"/>
  <c r="D8" i="4"/>
  <c r="E163" i="4"/>
  <c r="F160" i="4" s="1"/>
  <c r="G185" i="4"/>
  <c r="G187" i="4" s="1"/>
  <c r="H185" i="4" s="1"/>
  <c r="G172" i="4"/>
  <c r="E173" i="4"/>
  <c r="F172" i="4" s="1"/>
  <c r="F184" i="4"/>
  <c r="F186" i="4"/>
  <c r="F183" i="4"/>
  <c r="F185" i="4"/>
  <c r="C140" i="4"/>
  <c r="G163" i="4"/>
  <c r="H161" i="4" s="1"/>
  <c r="N56" i="4"/>
  <c r="N44" i="4"/>
  <c r="N40" i="4"/>
  <c r="N36" i="4"/>
  <c r="C29" i="4"/>
  <c r="C33" i="4"/>
  <c r="C57" i="4"/>
  <c r="C45" i="4"/>
  <c r="C41" i="4"/>
  <c r="C37" i="4"/>
  <c r="C53" i="4"/>
  <c r="E52" i="4"/>
  <c r="C49" i="4"/>
  <c r="E48" i="4"/>
  <c r="C17" i="4"/>
  <c r="E16" i="4"/>
  <c r="C25" i="4"/>
  <c r="C13" i="4"/>
  <c r="C9" i="4"/>
  <c r="C21" i="4"/>
  <c r="F70" i="4"/>
  <c r="O129" i="4" l="1"/>
  <c r="G129" i="4"/>
  <c r="H73" i="4"/>
  <c r="I129" i="4"/>
  <c r="N129" i="4"/>
  <c r="M129" i="4"/>
  <c r="D69" i="4"/>
  <c r="J72" i="4"/>
  <c r="J116" i="4" s="1"/>
  <c r="O73" i="4"/>
  <c r="O117" i="4" s="1"/>
  <c r="I73" i="4"/>
  <c r="I117" i="4" s="1"/>
  <c r="I68" i="4"/>
  <c r="I99" i="4" s="1"/>
  <c r="K68" i="4"/>
  <c r="K99" i="4" s="1"/>
  <c r="G68" i="4"/>
  <c r="G73" i="4"/>
  <c r="G117" i="4" s="1"/>
  <c r="J129" i="4"/>
  <c r="K129" i="4"/>
  <c r="K73" i="4"/>
  <c r="K117" i="4" s="1"/>
  <c r="M73" i="4"/>
  <c r="M117" i="4" s="1"/>
  <c r="L129" i="4"/>
  <c r="H129" i="4"/>
  <c r="K69" i="4"/>
  <c r="K100" i="4" s="1"/>
  <c r="I72" i="4"/>
  <c r="I116" i="4" s="1"/>
  <c r="D129" i="4"/>
  <c r="F129" i="4"/>
  <c r="E129" i="4"/>
  <c r="O69" i="4"/>
  <c r="O100" i="4" s="1"/>
  <c r="O64" i="4"/>
  <c r="K64" i="4"/>
  <c r="O72" i="4"/>
  <c r="O116" i="4" s="1"/>
  <c r="I69" i="4"/>
  <c r="I100" i="4" s="1"/>
  <c r="M62" i="4"/>
  <c r="K72" i="4"/>
  <c r="K116" i="4" s="1"/>
  <c r="M69" i="4"/>
  <c r="M100" i="4" s="1"/>
  <c r="K62" i="4"/>
  <c r="E72" i="4"/>
  <c r="E116" i="4" s="1"/>
  <c r="M68" i="4"/>
  <c r="M99" i="4" s="1"/>
  <c r="I64" i="4"/>
  <c r="M64" i="4"/>
  <c r="O62" i="4"/>
  <c r="J68" i="4"/>
  <c r="J99" i="4" s="1"/>
  <c r="I62" i="4"/>
  <c r="E69" i="4"/>
  <c r="M72" i="4"/>
  <c r="M116" i="4" s="1"/>
  <c r="O68" i="4"/>
  <c r="O99" i="4" s="1"/>
  <c r="J64" i="4"/>
  <c r="G69" i="4"/>
  <c r="L73" i="4"/>
  <c r="L117" i="4" s="1"/>
  <c r="L72" i="4"/>
  <c r="L116" i="4" s="1"/>
  <c r="L62" i="4"/>
  <c r="H68" i="4"/>
  <c r="H99" i="4" s="1"/>
  <c r="L69" i="4"/>
  <c r="L100" i="4" s="1"/>
  <c r="D73" i="4"/>
  <c r="D117" i="4" s="1"/>
  <c r="F69" i="4"/>
  <c r="G64" i="4"/>
  <c r="C52" i="4"/>
  <c r="F73" i="4"/>
  <c r="F117" i="4" s="1"/>
  <c r="L64" i="4"/>
  <c r="N68" i="4"/>
  <c r="N99" i="4" s="1"/>
  <c r="G72" i="4"/>
  <c r="G116" i="4" s="1"/>
  <c r="C40" i="4"/>
  <c r="C8" i="4"/>
  <c r="C24" i="4"/>
  <c r="H72" i="4"/>
  <c r="H116" i="4" s="1"/>
  <c r="L68" i="4"/>
  <c r="L99" i="4" s="1"/>
  <c r="F62" i="4"/>
  <c r="H62" i="4"/>
  <c r="G62" i="4"/>
  <c r="C32" i="4"/>
  <c r="H69" i="4"/>
  <c r="J62" i="4"/>
  <c r="H64" i="4"/>
  <c r="C16" i="4"/>
  <c r="C20" i="4"/>
  <c r="F64" i="4"/>
  <c r="D72" i="4"/>
  <c r="D116" i="4" s="1"/>
  <c r="F72" i="4"/>
  <c r="F116" i="4" s="1"/>
  <c r="D64" i="4"/>
  <c r="C56" i="4"/>
  <c r="C44" i="4"/>
  <c r="C36" i="4"/>
  <c r="J73" i="4"/>
  <c r="J117" i="4" s="1"/>
  <c r="J69" i="4"/>
  <c r="J100" i="4" s="1"/>
  <c r="G173" i="4"/>
  <c r="H172" i="4" s="1"/>
  <c r="N69" i="4"/>
  <c r="N100" i="4" s="1"/>
  <c r="N62" i="4"/>
  <c r="E73" i="4"/>
  <c r="E117" i="4" s="1"/>
  <c r="F68" i="4"/>
  <c r="C28" i="4"/>
  <c r="C12" i="4"/>
  <c r="N64" i="4"/>
  <c r="C48" i="4"/>
  <c r="E68" i="4"/>
  <c r="D62" i="4"/>
  <c r="D68" i="4"/>
  <c r="F161" i="4"/>
  <c r="F162" i="4"/>
  <c r="E64" i="4"/>
  <c r="N73" i="4"/>
  <c r="N117" i="4" s="1"/>
  <c r="N72" i="4"/>
  <c r="N116" i="4" s="1"/>
  <c r="F169" i="4"/>
  <c r="F171" i="4"/>
  <c r="F170" i="4"/>
  <c r="F168" i="4"/>
  <c r="E62" i="4"/>
  <c r="H184" i="4"/>
  <c r="H186" i="4"/>
  <c r="H183" i="4"/>
  <c r="F187" i="4"/>
  <c r="H162" i="4"/>
  <c r="H160" i="4"/>
  <c r="C70" i="4"/>
  <c r="H134" i="4" l="1"/>
  <c r="H117" i="4"/>
  <c r="J187" i="4"/>
  <c r="N187" i="4"/>
  <c r="M187" i="4"/>
  <c r="N144" i="4" s="1"/>
  <c r="K187" i="4"/>
  <c r="L163" i="4"/>
  <c r="M163" i="4"/>
  <c r="O134" i="4"/>
  <c r="N134" i="4"/>
  <c r="C116" i="4"/>
  <c r="I127" i="4"/>
  <c r="D128" i="4"/>
  <c r="G134" i="4"/>
  <c r="E134" i="4"/>
  <c r="F134" i="4"/>
  <c r="D134" i="4"/>
  <c r="D131" i="4"/>
  <c r="O128" i="4"/>
  <c r="N128" i="4"/>
  <c r="M128" i="4"/>
  <c r="K136" i="4"/>
  <c r="L136" i="4"/>
  <c r="E131" i="4"/>
  <c r="F131" i="4"/>
  <c r="J136" i="4"/>
  <c r="D133" i="4"/>
  <c r="D136" i="4"/>
  <c r="H133" i="4"/>
  <c r="H135" i="4" s="1"/>
  <c r="H136" i="4"/>
  <c r="M111" i="4"/>
  <c r="M122" i="4" s="1"/>
  <c r="M136" i="4"/>
  <c r="I133" i="4"/>
  <c r="I136" i="4"/>
  <c r="O133" i="4"/>
  <c r="O136" i="4"/>
  <c r="H131" i="4"/>
  <c r="E133" i="4"/>
  <c r="E136" i="4"/>
  <c r="G127" i="4"/>
  <c r="G131" i="4"/>
  <c r="G133" i="4"/>
  <c r="G136" i="4"/>
  <c r="I131" i="4"/>
  <c r="N127" i="4"/>
  <c r="N131" i="4"/>
  <c r="N133" i="4"/>
  <c r="N136" i="4"/>
  <c r="F133" i="4"/>
  <c r="F136" i="4"/>
  <c r="L131" i="4"/>
  <c r="O93" i="4"/>
  <c r="O106" i="4" s="1"/>
  <c r="O131" i="4"/>
  <c r="J131" i="4"/>
  <c r="M127" i="4"/>
  <c r="M131" i="4"/>
  <c r="K131" i="4"/>
  <c r="I93" i="4"/>
  <c r="G93" i="4"/>
  <c r="O127" i="4"/>
  <c r="K93" i="4"/>
  <c r="K127" i="4"/>
  <c r="K128" i="4"/>
  <c r="J127" i="4"/>
  <c r="J128" i="4"/>
  <c r="L127" i="4"/>
  <c r="L128" i="4"/>
  <c r="H128" i="4"/>
  <c r="H127" i="4"/>
  <c r="G128" i="4"/>
  <c r="I128" i="4"/>
  <c r="C129" i="4"/>
  <c r="D127" i="4"/>
  <c r="F128" i="4"/>
  <c r="F127" i="4"/>
  <c r="E128" i="4"/>
  <c r="E127" i="4"/>
  <c r="O111" i="4"/>
  <c r="O122" i="4" s="1"/>
  <c r="M93" i="4"/>
  <c r="M106" i="4" s="1"/>
  <c r="J93" i="4"/>
  <c r="E111" i="4"/>
  <c r="E122" i="4" s="1"/>
  <c r="L93" i="4"/>
  <c r="H93" i="4"/>
  <c r="N93" i="4"/>
  <c r="N106" i="4" s="1"/>
  <c r="F111" i="4"/>
  <c r="F122" i="4" s="1"/>
  <c r="D111" i="4"/>
  <c r="D122" i="4" s="1"/>
  <c r="F93" i="4"/>
  <c r="E93" i="4"/>
  <c r="H171" i="4"/>
  <c r="H168" i="4"/>
  <c r="H170" i="4"/>
  <c r="H169" i="4"/>
  <c r="C69" i="4"/>
  <c r="C68" i="4"/>
  <c r="L187" i="4"/>
  <c r="J163" i="4"/>
  <c r="C64" i="4"/>
  <c r="C72" i="4"/>
  <c r="C73" i="4"/>
  <c r="C62" i="4"/>
  <c r="N111" i="4"/>
  <c r="N122" i="4" s="1"/>
  <c r="F163" i="4"/>
  <c r="D93" i="4"/>
  <c r="F173" i="4"/>
  <c r="N163" i="4"/>
  <c r="J133" i="4"/>
  <c r="H163" i="4"/>
  <c r="H187" i="4"/>
  <c r="I134" i="4"/>
  <c r="G111" i="4"/>
  <c r="G122" i="4" s="1"/>
  <c r="O118" i="4" l="1"/>
  <c r="N141" i="4"/>
  <c r="E118" i="4"/>
  <c r="L118" i="4"/>
  <c r="H118" i="4"/>
  <c r="F118" i="4"/>
  <c r="G118" i="4"/>
  <c r="K118" i="4"/>
  <c r="N118" i="4"/>
  <c r="J118" i="4"/>
  <c r="M118" i="4"/>
  <c r="F144" i="4"/>
  <c r="G144" i="4" s="1"/>
  <c r="H144" i="4" s="1"/>
  <c r="J144" i="4" s="1"/>
  <c r="K144" i="4" s="1"/>
  <c r="L144" i="4" s="1"/>
  <c r="I118" i="4"/>
  <c r="D118" i="4"/>
  <c r="M173" i="4"/>
  <c r="H100" i="4"/>
  <c r="N135" i="4"/>
  <c r="O135" i="4"/>
  <c r="G135" i="4"/>
  <c r="G130" i="4"/>
  <c r="I106" i="4"/>
  <c r="E135" i="4"/>
  <c r="F135" i="4"/>
  <c r="O94" i="4"/>
  <c r="L173" i="4"/>
  <c r="D130" i="4"/>
  <c r="I130" i="4"/>
  <c r="D135" i="4"/>
  <c r="O130" i="4"/>
  <c r="M130" i="4"/>
  <c r="N130" i="4"/>
  <c r="I135" i="4"/>
  <c r="G106" i="4"/>
  <c r="K106" i="4"/>
  <c r="C131" i="4"/>
  <c r="E18" i="18" s="1"/>
  <c r="C136" i="4"/>
  <c r="E18" i="19" s="1"/>
  <c r="K130" i="4"/>
  <c r="J130" i="4"/>
  <c r="C99" i="4"/>
  <c r="H130" i="4"/>
  <c r="F141" i="4"/>
  <c r="G141" i="4" s="1"/>
  <c r="I141" i="4" s="1"/>
  <c r="J141" i="4" s="1"/>
  <c r="K141" i="4" s="1"/>
  <c r="L141" i="4" s="1"/>
  <c r="F106" i="4"/>
  <c r="J106" i="4"/>
  <c r="D106" i="4"/>
  <c r="F130" i="4"/>
  <c r="H106" i="4"/>
  <c r="L130" i="4"/>
  <c r="L106" i="4"/>
  <c r="C127" i="4"/>
  <c r="C128" i="4"/>
  <c r="E106" i="4"/>
  <c r="E130" i="4"/>
  <c r="C93" i="4"/>
  <c r="H173" i="4"/>
  <c r="J173" i="4"/>
  <c r="N173" i="4"/>
  <c r="K133" i="4"/>
  <c r="J134" i="4"/>
  <c r="J135" i="4" s="1"/>
  <c r="H111" i="4"/>
  <c r="H122" i="4" s="1"/>
  <c r="N142" i="4" l="1"/>
  <c r="E102" i="4"/>
  <c r="O102" i="4"/>
  <c r="C117" i="4"/>
  <c r="C118" i="4" s="1"/>
  <c r="C119" i="4" s="1"/>
  <c r="C120" i="4" s="1"/>
  <c r="E12" i="19" s="1"/>
  <c r="F142" i="4"/>
  <c r="G142" i="4" s="1"/>
  <c r="I142" i="4" s="1"/>
  <c r="J142" i="4" s="1"/>
  <c r="K142" i="4" s="1"/>
  <c r="L142" i="4" s="1"/>
  <c r="N102" i="4"/>
  <c r="M102" i="4"/>
  <c r="O107" i="4"/>
  <c r="F102" i="4"/>
  <c r="J102" i="4"/>
  <c r="K102" i="4"/>
  <c r="I102" i="4"/>
  <c r="H101" i="4"/>
  <c r="H102" i="4" s="1"/>
  <c r="G102" i="4"/>
  <c r="L102" i="4"/>
  <c r="N95" i="4"/>
  <c r="C106" i="4"/>
  <c r="C100" i="4"/>
  <c r="C130" i="4"/>
  <c r="E17" i="18" s="1"/>
  <c r="E20" i="18" s="1"/>
  <c r="M94" i="4"/>
  <c r="M107" i="4" s="1"/>
  <c r="H94" i="4"/>
  <c r="H107" i="4" s="1"/>
  <c r="F94" i="4"/>
  <c r="F107" i="4" s="1"/>
  <c r="G94" i="4"/>
  <c r="G107" i="4" s="1"/>
  <c r="E112" i="4"/>
  <c r="N94" i="4"/>
  <c r="N107" i="4" s="1"/>
  <c r="D94" i="4"/>
  <c r="D107" i="4" s="1"/>
  <c r="I94" i="4"/>
  <c r="I107" i="4" s="1"/>
  <c r="J94" i="4"/>
  <c r="J107" i="4" s="1"/>
  <c r="E94" i="4"/>
  <c r="E107" i="4" s="1"/>
  <c r="K94" i="4"/>
  <c r="K107" i="4" s="1"/>
  <c r="D112" i="4"/>
  <c r="L133" i="4"/>
  <c r="M133" i="4"/>
  <c r="K134" i="4"/>
  <c r="K135" i="4" s="1"/>
  <c r="I111" i="4"/>
  <c r="I122" i="4" s="1"/>
  <c r="N108" i="4" l="1"/>
  <c r="N109" i="4" s="1"/>
  <c r="D113" i="4"/>
  <c r="D123" i="4"/>
  <c r="E113" i="4"/>
  <c r="E123" i="4"/>
  <c r="E124" i="4" s="1"/>
  <c r="D102" i="4"/>
  <c r="C101" i="4"/>
  <c r="C102" i="4" s="1"/>
  <c r="L94" i="4"/>
  <c r="G112" i="4"/>
  <c r="D95" i="4"/>
  <c r="I95" i="4"/>
  <c r="F95" i="4"/>
  <c r="E95" i="4"/>
  <c r="H95" i="4"/>
  <c r="G95" i="4"/>
  <c r="N96" i="4"/>
  <c r="F112" i="4"/>
  <c r="C141" i="4"/>
  <c r="L134" i="4"/>
  <c r="L135" i="4" s="1"/>
  <c r="M134" i="4"/>
  <c r="M135" i="4" s="1"/>
  <c r="C150" i="4"/>
  <c r="C151" i="4"/>
  <c r="C133" i="4"/>
  <c r="L111" i="4"/>
  <c r="L122" i="4" s="1"/>
  <c r="K111" i="4"/>
  <c r="K122" i="4" s="1"/>
  <c r="H112" i="4"/>
  <c r="J111" i="4"/>
  <c r="J122" i="4" s="1"/>
  <c r="C103" i="4" l="1"/>
  <c r="C104" i="4" s="1"/>
  <c r="E12" i="18" s="1"/>
  <c r="H113" i="4"/>
  <c r="H123" i="4"/>
  <c r="H124" i="4" s="1"/>
  <c r="F113" i="4"/>
  <c r="F123" i="4"/>
  <c r="F124" i="4" s="1"/>
  <c r="D124" i="4"/>
  <c r="G113" i="4"/>
  <c r="G123" i="4"/>
  <c r="G124" i="4" s="1"/>
  <c r="C122" i="4"/>
  <c r="C94" i="4"/>
  <c r="L107" i="4"/>
  <c r="C107" i="4" s="1"/>
  <c r="H96" i="4"/>
  <c r="H108" i="4"/>
  <c r="H109" i="4" s="1"/>
  <c r="H137" i="4" s="1"/>
  <c r="G96" i="4"/>
  <c r="G108" i="4"/>
  <c r="G109" i="4" s="1"/>
  <c r="I96" i="4"/>
  <c r="I108" i="4"/>
  <c r="I109" i="4" s="1"/>
  <c r="D96" i="4"/>
  <c r="D108" i="4"/>
  <c r="F96" i="4"/>
  <c r="F108" i="4"/>
  <c r="F109" i="4" s="1"/>
  <c r="F137" i="4" s="1"/>
  <c r="E96" i="4"/>
  <c r="E108" i="4"/>
  <c r="E109" i="4" s="1"/>
  <c r="E137" i="4" s="1"/>
  <c r="M112" i="4"/>
  <c r="J95" i="4"/>
  <c r="C143" i="4"/>
  <c r="C134" i="4"/>
  <c r="C135" i="4" s="1"/>
  <c r="E17" i="19" s="1"/>
  <c r="E20" i="19" s="1"/>
  <c r="C111" i="4"/>
  <c r="I112" i="4"/>
  <c r="G137" i="4" l="1"/>
  <c r="M113" i="4"/>
  <c r="M123" i="4"/>
  <c r="M124" i="4" s="1"/>
  <c r="I113" i="4"/>
  <c r="I123" i="4"/>
  <c r="I124" i="4" s="1"/>
  <c r="I137" i="4" s="1"/>
  <c r="D109" i="4"/>
  <c r="D137" i="4" s="1"/>
  <c r="J96" i="4"/>
  <c r="J108" i="4"/>
  <c r="J109" i="4" s="1"/>
  <c r="O112" i="4"/>
  <c r="N112" i="4"/>
  <c r="K95" i="4"/>
  <c r="K108" i="4" s="1"/>
  <c r="K109" i="4" s="1"/>
  <c r="K112" i="4"/>
  <c r="L112" i="4"/>
  <c r="J112" i="4"/>
  <c r="N113" i="4" l="1"/>
  <c r="N123" i="4"/>
  <c r="N124" i="4" s="1"/>
  <c r="N137" i="4" s="1"/>
  <c r="O113" i="4"/>
  <c r="O123" i="4"/>
  <c r="O124" i="4" s="1"/>
  <c r="L113" i="4"/>
  <c r="L123" i="4"/>
  <c r="L124" i="4" s="1"/>
  <c r="K113" i="4"/>
  <c r="K123" i="4"/>
  <c r="K124" i="4" s="1"/>
  <c r="K137" i="4" s="1"/>
  <c r="J113" i="4"/>
  <c r="J123" i="4"/>
  <c r="C144" i="4"/>
  <c r="L95" i="4"/>
  <c r="K96" i="4"/>
  <c r="C112" i="4"/>
  <c r="C113" i="4" s="1"/>
  <c r="E10" i="19" s="1"/>
  <c r="E13" i="19" l="1"/>
  <c r="E31" i="19"/>
  <c r="E32" i="19" s="1"/>
  <c r="E39" i="19"/>
  <c r="E43" i="19" s="1"/>
  <c r="E34" i="19"/>
  <c r="J124" i="4"/>
  <c r="J137" i="4" s="1"/>
  <c r="C123" i="4"/>
  <c r="C124" i="4" s="1"/>
  <c r="L96" i="4"/>
  <c r="L108" i="4"/>
  <c r="M95" i="4"/>
  <c r="M108" i="4" s="1"/>
  <c r="M109" i="4" s="1"/>
  <c r="M137" i="4" s="1"/>
  <c r="E44" i="19" l="1"/>
  <c r="E46" i="19" s="1"/>
  <c r="L109" i="4"/>
  <c r="L137" i="4" s="1"/>
  <c r="M96" i="4"/>
  <c r="O95" i="4"/>
  <c r="O108" i="4" s="1"/>
  <c r="O109" i="4" s="1"/>
  <c r="O137" i="4" s="1"/>
  <c r="C142" i="4"/>
  <c r="C137" i="4" l="1"/>
  <c r="C108" i="4"/>
  <c r="C109" i="4" s="1"/>
  <c r="O96" i="4"/>
  <c r="C95" i="4"/>
  <c r="C96" i="4" s="1"/>
  <c r="E10" i="18" s="1"/>
  <c r="E31" i="18" l="1"/>
  <c r="E32" i="18" s="1"/>
  <c r="E34" i="18"/>
  <c r="E39" i="18"/>
  <c r="E43" i="18" s="1"/>
  <c r="E13" i="18"/>
  <c r="E44" i="18" l="1"/>
  <c r="E46" i="18" s="1"/>
</calcChain>
</file>

<file path=xl/sharedStrings.xml><?xml version="1.0" encoding="utf-8"?>
<sst xmlns="http://schemas.openxmlformats.org/spreadsheetml/2006/main" count="627" uniqueCount="366">
  <si>
    <t>1961-1990</t>
  </si>
  <si>
    <t>NORMAL</t>
  </si>
  <si>
    <t>ACTUAL</t>
  </si>
  <si>
    <t>DDH</t>
  </si>
  <si>
    <t xml:space="preserve">CALENDAR    </t>
  </si>
  <si>
    <t>AVISTA UTILITIES</t>
  </si>
  <si>
    <t>MONTHLY DDH &amp; DDC</t>
  </si>
  <si>
    <t>DDC</t>
  </si>
  <si>
    <t>ADJUSTMENT</t>
  </si>
  <si>
    <t>Rate Group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</si>
  <si>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</si>
  <si>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</si>
  <si>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</si>
  <si>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</si>
  <si>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</si>
  <si>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</si>
  <si>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</si>
  <si>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</si>
  <si>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</si>
  <si>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</si>
  <si>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</si>
  <si>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</si>
  <si>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</si>
  <si>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    No of Cust</t>
  </si>
  <si>
    <t xml:space="preserve">     Usage/DDH</t>
  </si>
  <si>
    <t>NORM - ACT</t>
  </si>
  <si>
    <t>WA subtotal</t>
  </si>
  <si>
    <t>ID subtotal</t>
  </si>
  <si>
    <t>WA Res Sched 101</t>
  </si>
  <si>
    <t>WA Com Sched 101</t>
  </si>
  <si>
    <t>WA Ind Sched 101</t>
  </si>
  <si>
    <t>WA Res Sched 111</t>
  </si>
  <si>
    <t>WA Com Sched 111</t>
  </si>
  <si>
    <t>WA Ind Sched 111</t>
  </si>
  <si>
    <t>WA Com Sched 121</t>
  </si>
  <si>
    <t>ID Com Sched 101</t>
  </si>
  <si>
    <t>ID Ind Sched 101</t>
  </si>
  <si>
    <t>ID Res Sched 111</t>
  </si>
  <si>
    <t>ID Com Sched 111</t>
  </si>
  <si>
    <t>ID Ind Sched 111</t>
  </si>
  <si>
    <t>ID Res Sched 101</t>
  </si>
  <si>
    <t>Summarize by Schedule</t>
  </si>
  <si>
    <t>WA 101</t>
  </si>
  <si>
    <t>WA 111</t>
  </si>
  <si>
    <t>WA 121</t>
  </si>
  <si>
    <t>ID 101</t>
  </si>
  <si>
    <t>ID 111</t>
  </si>
  <si>
    <t>Effective WACOG by Month</t>
  </si>
  <si>
    <t>Weather Adjustment Revenue</t>
  </si>
  <si>
    <t>Adj</t>
  </si>
  <si>
    <t>Dependent</t>
  </si>
  <si>
    <t>Usage/Cust</t>
  </si>
  <si>
    <t>Variable</t>
  </si>
  <si>
    <t>Base Load</t>
  </si>
  <si>
    <t xml:space="preserve">Washington Gas </t>
  </si>
  <si>
    <t>WR101</t>
  </si>
  <si>
    <t>WC101</t>
  </si>
  <si>
    <t>WI101</t>
  </si>
  <si>
    <t>WT101</t>
  </si>
  <si>
    <t>WR111</t>
  </si>
  <si>
    <t>WC111</t>
  </si>
  <si>
    <t>WI111</t>
  </si>
  <si>
    <t>WC121</t>
  </si>
  <si>
    <t xml:space="preserve">Idaho Gas </t>
  </si>
  <si>
    <t>IR101</t>
  </si>
  <si>
    <t>IC101</t>
  </si>
  <si>
    <t>II101</t>
  </si>
  <si>
    <t>IT101</t>
  </si>
  <si>
    <t>IR111</t>
  </si>
  <si>
    <t>IC111</t>
  </si>
  <si>
    <t>II111</t>
  </si>
  <si>
    <t>Dependent Variable Name Code</t>
  </si>
  <si>
    <t>1st letter</t>
  </si>
  <si>
    <t>2nd letter</t>
  </si>
  <si>
    <t>Numerical reference</t>
  </si>
  <si>
    <t>W = Washington Jurisdiction</t>
  </si>
  <si>
    <t>R = Residential Class</t>
  </si>
  <si>
    <t>Rate Schedule</t>
  </si>
  <si>
    <t xml:space="preserve"> I  = Idaho Jurisdiction</t>
  </si>
  <si>
    <t>C = Commercial Class</t>
  </si>
  <si>
    <t xml:space="preserve"> I  = Industrial Class</t>
  </si>
  <si>
    <t>T = Total Schedule</t>
  </si>
  <si>
    <t>Heating</t>
  </si>
  <si>
    <t>WR1</t>
  </si>
  <si>
    <t>WR11</t>
  </si>
  <si>
    <t>WC11</t>
  </si>
  <si>
    <t>WI11</t>
  </si>
  <si>
    <t>WT11</t>
  </si>
  <si>
    <t>WR21</t>
  </si>
  <si>
    <t>IR1</t>
  </si>
  <si>
    <t>IR11</t>
  </si>
  <si>
    <t>IC11</t>
  </si>
  <si>
    <t>II11</t>
  </si>
  <si>
    <t>IT11</t>
  </si>
  <si>
    <t>IR21</t>
  </si>
  <si>
    <t>No Autocorrelation</t>
  </si>
  <si>
    <t>Period</t>
  </si>
  <si>
    <t>Service</t>
  </si>
  <si>
    <t>State Cde</t>
  </si>
  <si>
    <t>Rate Schedule Num</t>
  </si>
  <si>
    <t>Revenue Class</t>
  </si>
  <si>
    <t>ID</t>
  </si>
  <si>
    <t>01</t>
  </si>
  <si>
    <t>21</t>
  </si>
  <si>
    <t>80</t>
  </si>
  <si>
    <t>31</t>
  </si>
  <si>
    <t>WA</t>
  </si>
  <si>
    <t>WC21</t>
  </si>
  <si>
    <t>WI21</t>
  </si>
  <si>
    <t>WT21</t>
  </si>
  <si>
    <t>WC25</t>
  </si>
  <si>
    <t>WI25</t>
  </si>
  <si>
    <t>WT25</t>
  </si>
  <si>
    <t>WI31</t>
  </si>
  <si>
    <t>WC31</t>
  </si>
  <si>
    <t>WR31</t>
  </si>
  <si>
    <t>WT31</t>
  </si>
  <si>
    <t>IC21</t>
  </si>
  <si>
    <t>II21</t>
  </si>
  <si>
    <t>IT21</t>
  </si>
  <si>
    <t>IC25</t>
  </si>
  <si>
    <t>II25</t>
  </si>
  <si>
    <t>IT25</t>
  </si>
  <si>
    <t>IC31</t>
  </si>
  <si>
    <t>II31</t>
  </si>
  <si>
    <t>IR31</t>
  </si>
  <si>
    <t>IT31</t>
  </si>
  <si>
    <t>WA Residential Sch 1</t>
  </si>
  <si>
    <t>WA Residential Sch 11</t>
  </si>
  <si>
    <t>WA Commercial Sch 11</t>
  </si>
  <si>
    <t>WA Industrial Sch 11</t>
  </si>
  <si>
    <t>WA Total Sch 11</t>
  </si>
  <si>
    <t>WA Residential Sch 21</t>
  </si>
  <si>
    <t>WA Commercial Sch 21</t>
  </si>
  <si>
    <t>WA Industrial Sch 21</t>
  </si>
  <si>
    <t>WA Total Sch 21</t>
  </si>
  <si>
    <t>WA Commercial Sch 25</t>
  </si>
  <si>
    <t>WA Industrial Sch 25</t>
  </si>
  <si>
    <t>WA Total Sch 25</t>
  </si>
  <si>
    <t>WA Residential Sch 31</t>
  </si>
  <si>
    <t>WA Commercial Sch 31</t>
  </si>
  <si>
    <t>WA Industrial Sch 31</t>
  </si>
  <si>
    <t>WA Total Sch 31</t>
  </si>
  <si>
    <t>ID Residential Sch 1</t>
  </si>
  <si>
    <t>ID Residential Sch 11</t>
  </si>
  <si>
    <t>ID Commercial Sch 11</t>
  </si>
  <si>
    <t>ID Industrial Sch 11</t>
  </si>
  <si>
    <t>ID Total Sch 11</t>
  </si>
  <si>
    <t>ID Residential Sch 21</t>
  </si>
  <si>
    <t>ID Commercial Sch 21</t>
  </si>
  <si>
    <t>ID Industrial Sch 21</t>
  </si>
  <si>
    <t>ID Total Sch 21</t>
  </si>
  <si>
    <t>ID Commercial Sch 25</t>
  </si>
  <si>
    <t>ID Industrial Sch 25</t>
  </si>
  <si>
    <t>ID Total Sch 25</t>
  </si>
  <si>
    <t>ID Residential Sch 31</t>
  </si>
  <si>
    <t>ID Commercial Sch 31</t>
  </si>
  <si>
    <t>ID Industrial Sch 31</t>
  </si>
  <si>
    <t>ID Total Sch 31</t>
  </si>
  <si>
    <t>Summarize No of Customers by Code</t>
  </si>
  <si>
    <t>Winter Mo</t>
  </si>
  <si>
    <t>Durbin Watson</t>
  </si>
  <si>
    <t>Shoulder Mo</t>
  </si>
  <si>
    <t>Test Result</t>
  </si>
  <si>
    <t>Gas</t>
  </si>
  <si>
    <t>IT111</t>
  </si>
  <si>
    <t>IC121</t>
  </si>
  <si>
    <t>II121</t>
  </si>
  <si>
    <t>91</t>
  </si>
  <si>
    <t>IT121</t>
  </si>
  <si>
    <t>IT131</t>
  </si>
  <si>
    <t>22</t>
  </si>
  <si>
    <t>92</t>
  </si>
  <si>
    <t>WT111</t>
  </si>
  <si>
    <t>WI121</t>
  </si>
  <si>
    <t>WT121</t>
  </si>
  <si>
    <t>WT131</t>
  </si>
  <si>
    <t>93</t>
  </si>
  <si>
    <t>WA Residential Sch 101</t>
  </si>
  <si>
    <t>WA Commercial Sch 101</t>
  </si>
  <si>
    <t>WA Industrial Sch 101</t>
  </si>
  <si>
    <t>WA Total Sch 101</t>
  </si>
  <si>
    <t>WA Residential Sch 111</t>
  </si>
  <si>
    <t>WA Commercial Sch 111</t>
  </si>
  <si>
    <t>WA Industrial Sch 111</t>
  </si>
  <si>
    <t>WA Total Sch 111</t>
  </si>
  <si>
    <t>WA Residential 121</t>
  </si>
  <si>
    <t>WR121</t>
  </si>
  <si>
    <t>WA Commercial Sch 121</t>
  </si>
  <si>
    <t>WA Industrial Sch 121</t>
  </si>
  <si>
    <t>WA Total Sch 121</t>
  </si>
  <si>
    <t>WA Total Sch 131</t>
  </si>
  <si>
    <t>ID Residential Sch 101</t>
  </si>
  <si>
    <t>ID Commercial Sch 101</t>
  </si>
  <si>
    <t>ID Industrial Sch 101</t>
  </si>
  <si>
    <t>ID Total Sch 101</t>
  </si>
  <si>
    <t>ID ResidentIial Sch 111</t>
  </si>
  <si>
    <t>ID Commercial Sch 111</t>
  </si>
  <si>
    <t>ID Industrial Sch 111</t>
  </si>
  <si>
    <t>ID Total Sch 111</t>
  </si>
  <si>
    <t>ID Commercial Sch 121</t>
  </si>
  <si>
    <t>ID Industrial Sch 121</t>
  </si>
  <si>
    <t>ID Total Sch 121</t>
  </si>
  <si>
    <t>ID Total Sch 131</t>
  </si>
  <si>
    <t>Apr, May, Jun, Oct, Nov</t>
  </si>
  <si>
    <t>Dec, Jan, Feb, Mar</t>
  </si>
  <si>
    <t>Weather Normalization</t>
  </si>
  <si>
    <t>Degree Day Comparison</t>
  </si>
  <si>
    <t>1971 - 2000</t>
  </si>
  <si>
    <t>Spokane AP Weather Station</t>
  </si>
  <si>
    <t>Season</t>
  </si>
  <si>
    <t>2006 - 2007</t>
  </si>
  <si>
    <t>2005 - 2006</t>
  </si>
  <si>
    <t>2004 - 2005</t>
  </si>
  <si>
    <t>2003 - 2004</t>
  </si>
  <si>
    <t>2002 - 2003</t>
  </si>
  <si>
    <t>2001 - 2002</t>
  </si>
  <si>
    <t>2000 - 2001</t>
  </si>
  <si>
    <t>1999 - 2000</t>
  </si>
  <si>
    <t>1998 - 1999</t>
  </si>
  <si>
    <t>1997 - 1998</t>
  </si>
  <si>
    <t>1996 - 1997</t>
  </si>
  <si>
    <t>1995 - 1996</t>
  </si>
  <si>
    <t>1994 - 1995</t>
  </si>
  <si>
    <t>1993 - 1994</t>
  </si>
  <si>
    <t>1992 - 1993</t>
  </si>
  <si>
    <t>1991 - 1992</t>
  </si>
  <si>
    <t>1990 - 1991</t>
  </si>
  <si>
    <t>1989 - 1990</t>
  </si>
  <si>
    <t>1988 - 1989</t>
  </si>
  <si>
    <t>NOAA 1971 - 2000 Normal</t>
  </si>
  <si>
    <t>Normal DDH</t>
  </si>
  <si>
    <t>Actual DDH</t>
  </si>
  <si>
    <t>2007 - 2008</t>
  </si>
  <si>
    <t>Heating Degree Day History</t>
  </si>
  <si>
    <t xml:space="preserve"> 30 Year vs NOAA Change</t>
  </si>
  <si>
    <t>30 YEAR AVG</t>
  </si>
  <si>
    <t>2008 - 2009</t>
  </si>
  <si>
    <t>Meters</t>
  </si>
  <si>
    <t>Corrected with AR(1)</t>
  </si>
  <si>
    <t>Corrected with AR(1),(2)</t>
  </si>
  <si>
    <t>WS weighted block Effective Rate by Month (Excluding prior deferral amortization Sch 155, decoupling surcharge Sch 159, and public purpose tariff rider Sch 191)</t>
  </si>
  <si>
    <t xml:space="preserve">    Total Revenue Adjustment</t>
  </si>
  <si>
    <t xml:space="preserve">    Total Gas Cost Adjustment</t>
  </si>
  <si>
    <t>Weighted Block Rate Calculation</t>
  </si>
  <si>
    <t>WA Schedule 111</t>
  </si>
  <si>
    <t>Baseload Usage</t>
  </si>
  <si>
    <t>Percentage</t>
  </si>
  <si>
    <t>WS Usage</t>
  </si>
  <si>
    <t>Block 1</t>
  </si>
  <si>
    <t>Block 2</t>
  </si>
  <si>
    <t>Block 3</t>
  </si>
  <si>
    <t>WA Schedule 121</t>
  </si>
  <si>
    <t>Block 4</t>
  </si>
  <si>
    <t>Block 5</t>
  </si>
  <si>
    <t>ID Schedule 111</t>
  </si>
  <si>
    <t xml:space="preserve">     Total WA</t>
  </si>
  <si>
    <r>
      <t>R</t>
    </r>
    <r>
      <rPr>
        <b/>
        <vertAlign val="superscript"/>
        <sz val="10"/>
        <rFont val="Times New Roman"/>
        <family val="1"/>
      </rPr>
      <t>2</t>
    </r>
  </si>
  <si>
    <t>2010 - 2011</t>
  </si>
  <si>
    <t>NOAA 1981 - 2010 Normal</t>
  </si>
  <si>
    <t>Margin</t>
  </si>
  <si>
    <t>1981-2010</t>
  </si>
  <si>
    <t>Heating Season Adjustment</t>
  </si>
  <si>
    <t>2011 - 2012</t>
  </si>
  <si>
    <t>2009 - 2010</t>
  </si>
  <si>
    <t>WA Schedule 101</t>
  </si>
  <si>
    <t>2012 - 2013</t>
  </si>
  <si>
    <t>ID Schedule 101</t>
  </si>
  <si>
    <t>Gas Cost Rev</t>
  </si>
  <si>
    <t>all therms</t>
  </si>
  <si>
    <t>2013 - 2014</t>
  </si>
  <si>
    <t>Weather Adjustment Gas Cost Expense</t>
  </si>
  <si>
    <t>Gas Cost Exp</t>
  </si>
  <si>
    <t>Avista Utilities</t>
  </si>
  <si>
    <t>Line No.</t>
  </si>
  <si>
    <t>DESCRIPTION</t>
  </si>
  <si>
    <t>Conversion Factor</t>
  </si>
  <si>
    <t>Depreciation/Amortization</t>
  </si>
  <si>
    <t>Weather Normalization Adjustment</t>
  </si>
  <si>
    <t>Washington Natural Gas</t>
  </si>
  <si>
    <t>REVENUES</t>
  </si>
  <si>
    <t>Total General Business</t>
  </si>
  <si>
    <t>Total Transportation</t>
  </si>
  <si>
    <t>Other Revenues</t>
  </si>
  <si>
    <t>Total Gas Revenues</t>
  </si>
  <si>
    <t>EXPENSES</t>
  </si>
  <si>
    <t>Production 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</si>
  <si>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</si>
  <si>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</si>
  <si>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</si>
  <si>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</si>
  <si>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</si>
  <si>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</si>
  <si>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Taxes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</si>
  <si>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</si>
  <si>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</si>
  <si>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</si>
  <si>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</si>
  <si>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</si>
  <si>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</si>
  <si>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</si>
  <si>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Regulatory Amortizations</t>
  </si>
  <si>
    <t>Total Admin. &amp; General</t>
  </si>
  <si>
    <t>Total Gas Expense</t>
  </si>
  <si>
    <t>OPERATING INCOME BEFORE FIT</t>
  </si>
  <si>
    <t>Schedule 150 Purchased Gas Costs</t>
  </si>
  <si>
    <t>$000's</t>
  </si>
  <si>
    <t>Decoupling Revenue Offset</t>
  </si>
  <si>
    <t>Revenue not captured in Decoupling</t>
  </si>
  <si>
    <t>2014 - 2015</t>
  </si>
  <si>
    <t>GTI Gas Expense Adjustment</t>
  </si>
  <si>
    <t>GTI Exp Rate</t>
  </si>
  <si>
    <t>0102</t>
  </si>
  <si>
    <t>Total for 0102</t>
  </si>
  <si>
    <t>2015 - 2016</t>
  </si>
  <si>
    <t xml:space="preserve">    Total ID</t>
  </si>
  <si>
    <t>For Analysis Purposes Only</t>
  </si>
  <si>
    <t>0101</t>
  </si>
  <si>
    <t>0111</t>
  </si>
  <si>
    <t>0121</t>
  </si>
  <si>
    <t>0122</t>
  </si>
  <si>
    <t>0132</t>
  </si>
  <si>
    <t>0146</t>
  </si>
  <si>
    <t>0147</t>
  </si>
  <si>
    <t>0148</t>
  </si>
  <si>
    <t>Total for 0101</t>
  </si>
  <si>
    <t>Total for 0111</t>
  </si>
  <si>
    <t>Total for 0121</t>
  </si>
  <si>
    <t>Total for 0122</t>
  </si>
  <si>
    <t>Total for 0132</t>
  </si>
  <si>
    <t>Total for 0146</t>
  </si>
  <si>
    <t>Total for 0147</t>
  </si>
  <si>
    <t>Total for 0148</t>
  </si>
  <si>
    <t>0112</t>
  </si>
  <si>
    <t>Total for 0112</t>
  </si>
  <si>
    <t>0159</t>
  </si>
  <si>
    <t>Total for 0159</t>
  </si>
  <si>
    <t>Decoupling Mechanism revenue conversion factor</t>
  </si>
  <si>
    <t>FCA Revenue Offset</t>
  </si>
  <si>
    <t>Decoupling Adjustment</t>
  </si>
  <si>
    <t>Revenue Related Expenses</t>
  </si>
  <si>
    <t>FCA Adjustment</t>
  </si>
  <si>
    <t>Fixed Cost Adjustment Mechanism revenue conversion factor</t>
  </si>
  <si>
    <t>Idaho Natural Gas</t>
  </si>
  <si>
    <t>2016 Low</t>
  </si>
  <si>
    <t>Weather Sensitivity Regression Summary for January 2007 through 2016</t>
  </si>
  <si>
    <t>2016 - 2017</t>
  </si>
  <si>
    <t>DDH Adjustment to Normal</t>
  </si>
  <si>
    <t>201801</t>
  </si>
  <si>
    <t>201802</t>
  </si>
  <si>
    <t>201803</t>
  </si>
  <si>
    <t>201804</t>
  </si>
  <si>
    <t>201805</t>
  </si>
  <si>
    <t>201806</t>
  </si>
  <si>
    <t>201807</t>
  </si>
  <si>
    <t>201808</t>
  </si>
  <si>
    <t>201809</t>
  </si>
  <si>
    <t>1989 - 2018 30-Year Average</t>
  </si>
  <si>
    <t>2017 - 2018</t>
  </si>
  <si>
    <t>17 GRC Block Usage, Bills, &amp; Baseload</t>
  </si>
  <si>
    <t>201810</t>
  </si>
  <si>
    <t>201811</t>
  </si>
  <si>
    <t>Twelve Months Ended December 31, 2018</t>
  </si>
  <si>
    <t>Revenue Meters Report by Location  Twelve Months Ended  for Report Date : '12/31/2018'</t>
  </si>
  <si>
    <t>201812</t>
  </si>
  <si>
    <t>1989 - 2018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</si>
</sst>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5" formatCode="&quot;$&quot;#,##0_);\(&quot;$&quot;#,##0\)"/>
    <numFmt numFmtId="44" formatCode="_(&quot;$&quot;* #,##0.00_);_(&quot;$&quot;* \(#,##0.00\);_(&quot;$&quot;* &quot;-&quot;??_);_(@_)"/>
    <numFmt numFmtId="164" formatCode="0.0"/>
    <numFmt numFmtId="165" formatCode="0.000"/>
    <numFmt numFmtId="166" formatCode="0.00000"/>
    <numFmt numFmtId="167" formatCode="0.0000"/>
    <numFmt numFmtId="168" formatCode="mmm\ \-\ yy"/>
    <numFmt numFmtId="169" formatCode="#,##0.0000"/>
    <numFmt numFmtId="170" formatCode="_(* #,##0_);_(* \(#,##0\);_(* &quot;-&quot;??_);_(@_)"/>
    <numFmt numFmtId="171" formatCode="#,##0.00000"/>
    <numFmt numFmtId="172" formatCode="_(&quot;$&quot;* #,##0_);_(&quot;$&quot;* \(#,##0\);_(&quot;$&quot;* &quot;-&quot;??_);_(@_)"/>
    <numFmt numFmtId="173" formatCode="_(* #,##0.000000_);_(* \(#,##0.000000\);_(* &quot;-&quot;??_);_(@_)"/>
    <numFmt numFmtId="174" formatCode="#,##0.000000"/>
  </numFmts>
  <fonts count="38">
    <font>
      <sz val="9"/>
      <name val="Courier"/>
    </font>
    <font>
      <sz val="10"/>
      <name val="Arial"/>
      <family val="2"/>
    </font>
    <font>
      <sz val="10"/>
      <name val="Geneva"/>
    </font>
    <font>
      <sz val="10"/>
      <name val="Times New Roman"/>
      <family val="1"/>
    </font>
    <font>
      <sz val="9"/>
      <name val="Times New Roman"/>
      <family val="1"/>
    </font>
    <font>
      <sz val="10"/>
      <color indexed="12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i/>
      <sz val="10"/>
      <name val="Times New Roman"/>
      <family val="1"/>
    </font>
    <font>
      <sz val="8"/>
      <name val="Courier"/>
      <family val="3"/>
    </font>
    <font>
      <sz val="10"/>
      <name val="Courier"/>
      <family val="3"/>
    </font>
    <font>
      <sz val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"/>
      <color indexed="8"/>
      <name val="Arial"/>
      <family val="2"/>
    </font>
    <font>
      <sz val="10"/>
      <color indexed="8"/>
      <name val="Times New Roman"/>
      <family val="1"/>
    </font>
    <font>
      <sz val="10"/>
      <name val="Courier"/>
      <family val="3"/>
    </font>
    <font>
      <sz val="9"/>
      <name val="Courier"/>
      <family val="3"/>
    </font>
    <font>
      <sz val="10"/>
      <name val="Calibri"/>
      <family val="2"/>
    </font>
    <font>
      <sz val="10"/>
      <color rgb="FF0000CC"/>
      <name val="Times New Roman"/>
      <family val="1"/>
    </font>
    <font>
      <sz val="10"/>
      <color rgb="FFFF0000"/>
      <name val="Times New Roman"/>
      <family val="1"/>
    </font>
    <font>
      <b/>
      <vertAlign val="superscript"/>
      <sz val="10"/>
      <name val="Times New Roman"/>
      <family val="1"/>
    </font>
    <font>
      <sz val="10"/>
      <name val="Calibri"/>
      <family val="2"/>
      <scheme val="minor"/>
    </font>
    <font>
      <sz val="10"/>
      <color rgb="FF0000FF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0"/>
      <name val="Geneva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rgb="FFFF0000"/>
      <name val="Courier"/>
      <family val="3"/>
    </font>
    <font>
      <sz val="8"/>
      <color rgb="FF454545"/>
      <name val="Arial"/>
      <family val="2"/>
    </font>
    <font>
      <b/>
      <sz val="8"/>
      <color rgb="FF222222"/>
      <name val="Arial"/>
      <family val="2"/>
    </font>
    <font>
      <sz val="8"/>
      <color rgb="FF333333"/>
      <name val="Arial"/>
      <family val="2"/>
    </font>
    <font>
      <b/>
      <sz val="8"/>
      <color rgb="FFFFFFFF"/>
      <name val="Arial"/>
      <family val="2"/>
    </font>
    <font>
      <b/>
      <sz val="8"/>
      <color rgb="FF444444"/>
      <name val="Arial"/>
      <family val="2"/>
    </font>
    <font>
      <sz val="10"/>
      <color theme="9" tint="-0.499984740745262"/>
      <name val="Times New Roman"/>
      <family val="1"/>
    </font>
    <font>
      <sz val="10"/>
      <color rgb="FF7030A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C9E4FF"/>
      </patternFill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EE6F2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E1E6EC"/>
      </left>
      <right style="medium">
        <color rgb="FFE1E6EC"/>
      </right>
      <top/>
      <bottom style="medium">
        <color rgb="FFE1E6EC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</borders>
  <cellStyleXfs count="12">
    <xf numFmtId="0" fontId="0" fillId="0" borderId="0"/>
    <xf numFmtId="4" fontId="2" fillId="0" borderId="0" applyFont="0" applyFill="0" applyBorder="0" applyAlignment="0" applyProtection="0"/>
    <xf numFmtId="0" fontId="10" fillId="0" borderId="0"/>
    <xf numFmtId="0" fontId="6" fillId="0" borderId="0"/>
    <xf numFmtId="0" fontId="2" fillId="0" borderId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" fillId="0" borderId="0"/>
    <xf numFmtId="9" fontId="17" fillId="0" borderId="0" applyFont="0" applyFill="0" applyBorder="0" applyAlignment="0" applyProtection="0"/>
    <xf numFmtId="0" fontId="17" fillId="0" borderId="0"/>
    <xf numFmtId="0" fontId="26" fillId="0" borderId="0"/>
    <xf numFmtId="0" fontId="27" fillId="0" borderId="0"/>
  </cellStyleXfs>
  <cellXfs count="228">
    <xf numFmtId="0" fontId="0" fillId="0" borderId="0" xfId="0"/>
    <xf numFmtId="164" fontId="3" fillId="0" borderId="0" xfId="0" applyNumberFormat="1" applyFont="1" applyProtection="1">
      <protection locked="0"/>
    </xf>
    <xf numFmtId="164" fontId="4" fillId="0" borderId="0" xfId="0" applyNumberFormat="1" applyFont="1" applyProtection="1"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Protection="1">
      <protection locked="0"/>
    </xf>
    <xf numFmtId="3" fontId="3" fillId="0" borderId="1" xfId="0" applyNumberFormat="1" applyFont="1" applyBorder="1" applyProtection="1">
      <protection locked="0"/>
    </xf>
    <xf numFmtId="3" fontId="3" fillId="0" borderId="0" xfId="0" applyNumberFormat="1" applyFont="1" applyBorder="1" applyProtection="1">
      <protection locked="0"/>
    </xf>
    <xf numFmtId="3" fontId="3" fillId="0" borderId="0" xfId="0" applyNumberFormat="1" applyFont="1" applyBorder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horizontal="right"/>
      <protection locked="0"/>
    </xf>
    <xf numFmtId="3" fontId="3" fillId="0" borderId="0" xfId="0" quotePrefix="1" applyNumberFormat="1" applyFont="1" applyBorder="1" applyAlignment="1" applyProtection="1">
      <alignment horizontal="center"/>
      <protection locked="0"/>
    </xf>
    <xf numFmtId="164" fontId="3" fillId="0" borderId="0" xfId="0" quotePrefix="1" applyNumberFormat="1" applyFont="1" applyAlignment="1" applyProtection="1">
      <alignment horizontal="center"/>
      <protection locked="0"/>
    </xf>
    <xf numFmtId="3" fontId="4" fillId="0" borderId="1" xfId="1" applyNumberFormat="1" applyFont="1" applyBorder="1" applyProtection="1">
      <protection locked="0"/>
    </xf>
    <xf numFmtId="3" fontId="4" fillId="0" borderId="0" xfId="1" applyNumberFormat="1" applyFont="1" applyProtection="1">
      <protection locked="0"/>
    </xf>
    <xf numFmtId="0" fontId="6" fillId="0" borderId="0" xfId="3" applyAlignment="1">
      <alignment horizontal="center"/>
    </xf>
    <xf numFmtId="0" fontId="6" fillId="0" borderId="0" xfId="3"/>
    <xf numFmtId="3" fontId="6" fillId="0" borderId="0" xfId="3" applyNumberFormat="1"/>
    <xf numFmtId="3" fontId="12" fillId="0" borderId="0" xfId="2" applyNumberFormat="1" applyFont="1" applyAlignment="1">
      <alignment horizontal="center"/>
    </xf>
    <xf numFmtId="1" fontId="6" fillId="0" borderId="0" xfId="3" applyNumberFormat="1"/>
    <xf numFmtId="0" fontId="0" fillId="0" borderId="0" xfId="0" applyFill="1"/>
    <xf numFmtId="0" fontId="14" fillId="0" borderId="5" xfId="0" applyFont="1" applyFill="1" applyBorder="1" applyAlignment="1">
      <alignment horizontal="right" vertical="top"/>
    </xf>
    <xf numFmtId="0" fontId="14" fillId="0" borderId="6" xfId="0" applyFont="1" applyFill="1" applyBorder="1" applyAlignment="1">
      <alignment horizontal="right" vertical="top"/>
    </xf>
    <xf numFmtId="0" fontId="14" fillId="0" borderId="7" xfId="0" applyFont="1" applyFill="1" applyBorder="1" applyAlignment="1">
      <alignment horizontal="right" vertical="top"/>
    </xf>
    <xf numFmtId="0" fontId="15" fillId="0" borderId="8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right" vertical="top"/>
    </xf>
    <xf numFmtId="0" fontId="14" fillId="0" borderId="13" xfId="0" applyFont="1" applyFill="1" applyBorder="1" applyAlignment="1">
      <alignment horizontal="right" vertical="top"/>
    </xf>
    <xf numFmtId="0" fontId="14" fillId="0" borderId="14" xfId="0" applyFont="1" applyFill="1" applyBorder="1" applyAlignment="1">
      <alignment horizontal="right" vertical="top"/>
    </xf>
    <xf numFmtId="0" fontId="15" fillId="0" borderId="8" xfId="0" applyFont="1" applyFill="1" applyBorder="1" applyAlignment="1">
      <alignment horizontal="left" vertical="top"/>
    </xf>
    <xf numFmtId="0" fontId="15" fillId="0" borderId="8" xfId="0" applyFont="1" applyFill="1" applyBorder="1" applyAlignment="1">
      <alignment horizontal="left" vertical="top" wrapText="1"/>
    </xf>
    <xf numFmtId="0" fontId="13" fillId="0" borderId="8" xfId="0" applyFont="1" applyFill="1" applyBorder="1" applyAlignment="1">
      <alignment horizontal="left" vertical="top"/>
    </xf>
    <xf numFmtId="0" fontId="15" fillId="0" borderId="15" xfId="0" applyFont="1" applyFill="1" applyBorder="1" applyAlignment="1">
      <alignment horizontal="left" vertical="top"/>
    </xf>
    <xf numFmtId="0" fontId="15" fillId="0" borderId="15" xfId="0" applyFont="1" applyFill="1" applyBorder="1" applyAlignment="1">
      <alignment horizontal="left" vertical="top" wrapText="1"/>
    </xf>
    <xf numFmtId="0" fontId="13" fillId="0" borderId="15" xfId="0" applyFont="1" applyFill="1" applyBorder="1" applyAlignment="1">
      <alignment horizontal="left" vertical="top"/>
    </xf>
    <xf numFmtId="0" fontId="15" fillId="0" borderId="16" xfId="0" applyFont="1" applyFill="1" applyBorder="1" applyAlignment="1">
      <alignment horizontal="left" vertical="top"/>
    </xf>
    <xf numFmtId="0" fontId="15" fillId="0" borderId="16" xfId="0" applyFont="1" applyFill="1" applyBorder="1" applyAlignment="1">
      <alignment horizontal="left" vertical="top" wrapText="1"/>
    </xf>
    <xf numFmtId="0" fontId="13" fillId="0" borderId="16" xfId="0" applyFont="1" applyFill="1" applyBorder="1" applyAlignment="1">
      <alignment horizontal="left" vertical="top"/>
    </xf>
    <xf numFmtId="0" fontId="13" fillId="0" borderId="17" xfId="0" applyFont="1" applyFill="1" applyBorder="1" applyAlignment="1">
      <alignment horizontal="left" vertical="top"/>
    </xf>
    <xf numFmtId="0" fontId="13" fillId="0" borderId="8" xfId="0" applyFont="1" applyFill="1" applyBorder="1" applyAlignment="1">
      <alignment horizontal="right" vertical="top"/>
    </xf>
    <xf numFmtId="0" fontId="16" fillId="0" borderId="0" xfId="0" applyFont="1" applyFill="1"/>
    <xf numFmtId="0" fontId="16" fillId="0" borderId="0" xfId="0" applyFont="1"/>
    <xf numFmtId="0" fontId="18" fillId="0" borderId="0" xfId="3" applyFont="1" applyAlignment="1">
      <alignment horizontal="center"/>
    </xf>
    <xf numFmtId="0" fontId="18" fillId="0" borderId="0" xfId="3" applyFont="1"/>
    <xf numFmtId="3" fontId="18" fillId="0" borderId="0" xfId="2" applyNumberFormat="1" applyFont="1" applyAlignment="1">
      <alignment horizontal="center"/>
    </xf>
    <xf numFmtId="3" fontId="18" fillId="0" borderId="0" xfId="3" applyNumberFormat="1" applyFont="1"/>
    <xf numFmtId="0" fontId="18" fillId="0" borderId="0" xfId="3" applyFont="1" applyAlignment="1">
      <alignment horizontal="right"/>
    </xf>
    <xf numFmtId="3" fontId="18" fillId="0" borderId="0" xfId="3" applyNumberFormat="1" applyFont="1" applyAlignment="1">
      <alignment horizontal="center"/>
    </xf>
    <xf numFmtId="0" fontId="18" fillId="0" borderId="0" xfId="3" applyFont="1" applyBorder="1" applyAlignment="1">
      <alignment horizontal="right"/>
    </xf>
    <xf numFmtId="3" fontId="18" fillId="0" borderId="0" xfId="3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170" fontId="3" fillId="0" borderId="0" xfId="1" applyNumberFormat="1" applyFont="1"/>
    <xf numFmtId="0" fontId="3" fillId="0" borderId="4" xfId="0" applyFont="1" applyBorder="1" applyAlignment="1">
      <alignment horizontal="right"/>
    </xf>
    <xf numFmtId="0" fontId="3" fillId="0" borderId="0" xfId="0" applyFont="1" applyFill="1"/>
    <xf numFmtId="17" fontId="3" fillId="0" borderId="0" xfId="0" applyNumberFormat="1" applyFont="1" applyAlignment="1">
      <alignment horizontal="right"/>
    </xf>
    <xf numFmtId="3" fontId="3" fillId="0" borderId="1" xfId="0" applyNumberFormat="1" applyFont="1" applyBorder="1"/>
    <xf numFmtId="3" fontId="3" fillId="0" borderId="0" xfId="0" applyNumberFormat="1" applyFont="1"/>
    <xf numFmtId="3" fontId="3" fillId="0" borderId="0" xfId="1" applyNumberFormat="1" applyFont="1"/>
    <xf numFmtId="166" fontId="5" fillId="0" borderId="0" xfId="0" applyNumberFormat="1" applyFont="1" applyFill="1"/>
    <xf numFmtId="166" fontId="3" fillId="0" borderId="0" xfId="0" applyNumberFormat="1" applyFont="1" applyFill="1"/>
    <xf numFmtId="5" fontId="3" fillId="0" borderId="0" xfId="0" applyNumberFormat="1" applyFont="1"/>
    <xf numFmtId="5" fontId="7" fillId="0" borderId="0" xfId="0" applyNumberFormat="1" applyFont="1" applyBorder="1"/>
    <xf numFmtId="14" fontId="3" fillId="0" borderId="0" xfId="0" applyNumberFormat="1" applyFont="1" applyAlignment="1">
      <alignment horizontal="right"/>
    </xf>
    <xf numFmtId="166" fontId="3" fillId="0" borderId="0" xfId="0" applyNumberFormat="1" applyFont="1"/>
    <xf numFmtId="171" fontId="7" fillId="0" borderId="0" xfId="1" applyNumberFormat="1" applyFont="1"/>
    <xf numFmtId="166" fontId="7" fillId="0" borderId="0" xfId="0" applyNumberFormat="1" applyFont="1"/>
    <xf numFmtId="0" fontId="7" fillId="0" borderId="0" xfId="0" applyFont="1"/>
    <xf numFmtId="165" fontId="3" fillId="0" borderId="0" xfId="0" applyNumberFormat="1" applyFont="1"/>
    <xf numFmtId="169" fontId="3" fillId="0" borderId="0" xfId="1" applyNumberFormat="1" applyFont="1"/>
    <xf numFmtId="166" fontId="19" fillId="0" borderId="0" xfId="0" applyNumberFormat="1" applyFont="1" applyFill="1"/>
    <xf numFmtId="0" fontId="20" fillId="0" borderId="0" xfId="0" applyFont="1" applyFill="1"/>
    <xf numFmtId="3" fontId="7" fillId="0" borderId="0" xfId="1" applyNumberFormat="1" applyFont="1" applyBorder="1"/>
    <xf numFmtId="0" fontId="19" fillId="0" borderId="0" xfId="0" applyFont="1"/>
    <xf numFmtId="166" fontId="19" fillId="0" borderId="0" xfId="0" applyNumberFormat="1" applyFont="1"/>
    <xf numFmtId="0" fontId="3" fillId="0" borderId="0" xfId="0" applyFont="1" applyBorder="1"/>
    <xf numFmtId="0" fontId="3" fillId="0" borderId="2" xfId="4" applyFont="1" applyBorder="1" applyAlignment="1">
      <alignment horizontal="center" vertical="center"/>
    </xf>
    <xf numFmtId="0" fontId="3" fillId="0" borderId="0" xfId="4" applyFont="1" applyAlignment="1">
      <alignment vertical="center"/>
    </xf>
    <xf numFmtId="165" fontId="3" fillId="0" borderId="3" xfId="4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3" xfId="4" applyFont="1" applyFill="1" applyBorder="1" applyAlignment="1">
      <alignment horizontal="center" vertical="center"/>
    </xf>
    <xf numFmtId="0" fontId="3" fillId="0" borderId="0" xfId="4" applyFont="1" applyFill="1" applyAlignment="1">
      <alignment vertical="center"/>
    </xf>
    <xf numFmtId="0" fontId="3" fillId="0" borderId="0" xfId="4" applyFont="1" applyAlignment="1">
      <alignment horizontal="center" vertical="center"/>
    </xf>
    <xf numFmtId="0" fontId="7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3" fillId="0" borderId="0" xfId="4" applyFont="1" applyAlignment="1">
      <alignment horizontal="center" vertical="center" wrapText="1"/>
    </xf>
    <xf numFmtId="0" fontId="8" fillId="0" borderId="0" xfId="4" applyFont="1" applyAlignment="1">
      <alignment vertical="center"/>
    </xf>
    <xf numFmtId="0" fontId="3" fillId="0" borderId="0" xfId="4" applyFont="1" applyBorder="1" applyAlignment="1">
      <alignment horizontal="center" vertical="center"/>
    </xf>
    <xf numFmtId="167" fontId="3" fillId="0" borderId="0" xfId="4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0" fontId="3" fillId="0" borderId="0" xfId="4" applyFont="1" applyBorder="1" applyAlignment="1">
      <alignment vertical="center"/>
    </xf>
    <xf numFmtId="165" fontId="3" fillId="0" borderId="0" xfId="4" applyNumberFormat="1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8" fillId="0" borderId="0" xfId="4" applyFont="1" applyAlignment="1">
      <alignment horizontal="center" vertical="center"/>
    </xf>
    <xf numFmtId="0" fontId="22" fillId="0" borderId="0" xfId="3" applyFont="1" applyAlignment="1">
      <alignment horizontal="right"/>
    </xf>
    <xf numFmtId="3" fontId="22" fillId="0" borderId="0" xfId="3" applyNumberFormat="1" applyFont="1" applyAlignment="1">
      <alignment horizontal="center"/>
    </xf>
    <xf numFmtId="3" fontId="3" fillId="0" borderId="0" xfId="1" applyNumberFormat="1" applyFont="1" applyFill="1"/>
    <xf numFmtId="3" fontId="3" fillId="0" borderId="1" xfId="1" applyNumberFormat="1" applyFont="1" applyFill="1" applyBorder="1"/>
    <xf numFmtId="3" fontId="3" fillId="0" borderId="1" xfId="0" applyNumberFormat="1" applyFont="1" applyFill="1" applyBorder="1"/>
    <xf numFmtId="0" fontId="3" fillId="0" borderId="0" xfId="0" applyFont="1" applyFill="1" applyAlignment="1">
      <alignment horizontal="right"/>
    </xf>
    <xf numFmtId="164" fontId="3" fillId="0" borderId="0" xfId="0" applyNumberFormat="1" applyFont="1" applyAlignment="1" applyProtection="1">
      <alignment vertical="center"/>
      <protection locked="0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164" fontId="3" fillId="0" borderId="0" xfId="0" applyNumberFormat="1" applyFont="1" applyAlignment="1" applyProtection="1">
      <alignment horizontal="center" vertical="center"/>
      <protection locked="0"/>
    </xf>
    <xf numFmtId="168" fontId="3" fillId="0" borderId="0" xfId="0" applyNumberFormat="1" applyFont="1" applyAlignment="1" applyProtection="1">
      <alignment horizontal="center" vertical="center"/>
      <protection locked="0"/>
    </xf>
    <xf numFmtId="3" fontId="5" fillId="0" borderId="0" xfId="0" applyNumberFormat="1" applyFont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168" fontId="3" fillId="0" borderId="0" xfId="0" applyNumberFormat="1" applyFont="1" applyAlignment="1" applyProtection="1">
      <alignment vertical="center"/>
      <protection locked="0"/>
    </xf>
    <xf numFmtId="3" fontId="3" fillId="0" borderId="1" xfId="0" applyNumberFormat="1" applyFont="1" applyBorder="1" applyAlignment="1" applyProtection="1">
      <alignment vertical="center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5" fontId="3" fillId="0" borderId="1" xfId="0" applyNumberFormat="1" applyFont="1" applyBorder="1"/>
    <xf numFmtId="1" fontId="3" fillId="0" borderId="0" xfId="0" applyNumberFormat="1" applyFont="1" applyProtection="1">
      <protection locked="0"/>
    </xf>
    <xf numFmtId="0" fontId="7" fillId="0" borderId="0" xfId="4" applyFont="1" applyFill="1" applyAlignment="1">
      <alignment horizontal="center" vertical="center"/>
    </xf>
    <xf numFmtId="0" fontId="3" fillId="0" borderId="0" xfId="4" applyFont="1" applyFill="1" applyAlignment="1">
      <alignment horizontal="center" vertical="center"/>
    </xf>
    <xf numFmtId="3" fontId="3" fillId="0" borderId="0" xfId="4" applyNumberFormat="1" applyFont="1" applyFill="1" applyAlignment="1">
      <alignment vertical="center"/>
    </xf>
    <xf numFmtId="0" fontId="3" fillId="0" borderId="0" xfId="4" applyFont="1" applyFill="1" applyBorder="1" applyAlignment="1">
      <alignment vertical="center"/>
    </xf>
    <xf numFmtId="5" fontId="3" fillId="0" borderId="0" xfId="1" applyNumberFormat="1" applyFont="1"/>
    <xf numFmtId="5" fontId="3" fillId="0" borderId="1" xfId="1" applyNumberFormat="1" applyFont="1" applyBorder="1"/>
    <xf numFmtId="167" fontId="3" fillId="0" borderId="2" xfId="4" applyNumberFormat="1" applyFont="1" applyBorder="1" applyAlignment="1">
      <alignment vertical="center"/>
    </xf>
    <xf numFmtId="3" fontId="3" fillId="0" borderId="2" xfId="4" applyNumberFormat="1" applyFont="1" applyBorder="1" applyAlignment="1">
      <alignment vertical="center"/>
    </xf>
    <xf numFmtId="167" fontId="3" fillId="0" borderId="3" xfId="4" applyNumberFormat="1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65" fontId="3" fillId="0" borderId="3" xfId="4" applyNumberFormat="1" applyFont="1" applyBorder="1" applyAlignment="1">
      <alignment horizontal="center" vertical="center"/>
    </xf>
    <xf numFmtId="165" fontId="3" fillId="0" borderId="2" xfId="4" applyNumberFormat="1" applyFont="1" applyBorder="1" applyAlignment="1">
      <alignment horizontal="center" vertical="center"/>
    </xf>
    <xf numFmtId="5" fontId="7" fillId="0" borderId="18" xfId="1" applyNumberFormat="1" applyFont="1" applyBorder="1"/>
    <xf numFmtId="5" fontId="7" fillId="0" borderId="18" xfId="0" applyNumberFormat="1" applyFont="1" applyBorder="1"/>
    <xf numFmtId="3" fontId="5" fillId="0" borderId="0" xfId="0" applyNumberFormat="1" applyFont="1" applyFill="1" applyAlignment="1" applyProtection="1">
      <alignment vertical="center"/>
      <protection locked="0"/>
    </xf>
    <xf numFmtId="0" fontId="1" fillId="0" borderId="0" xfId="7"/>
    <xf numFmtId="0" fontId="3" fillId="0" borderId="0" xfId="3" applyFont="1" applyAlignment="1">
      <alignment horizontal="left"/>
    </xf>
    <xf numFmtId="0" fontId="3" fillId="0" borderId="0" xfId="3" applyFont="1" applyAlignment="1">
      <alignment horizontal="center"/>
    </xf>
    <xf numFmtId="0" fontId="3" fillId="0" borderId="0" xfId="3" applyFont="1" applyAlignment="1"/>
    <xf numFmtId="3" fontId="3" fillId="0" borderId="0" xfId="2" applyNumberFormat="1" applyFont="1" applyFill="1" applyAlignment="1">
      <alignment horizontal="center"/>
    </xf>
    <xf numFmtId="3" fontId="3" fillId="0" borderId="0" xfId="3" applyNumberFormat="1" applyFont="1" applyAlignment="1"/>
    <xf numFmtId="3" fontId="3" fillId="0" borderId="0" xfId="2" applyNumberFormat="1" applyFont="1" applyAlignment="1">
      <alignment horizontal="center"/>
    </xf>
    <xf numFmtId="0" fontId="3" fillId="0" borderId="0" xfId="3" applyFont="1" applyAlignment="1">
      <alignment horizontal="right"/>
    </xf>
    <xf numFmtId="3" fontId="3" fillId="0" borderId="0" xfId="3" applyNumberFormat="1" applyFont="1" applyAlignment="1">
      <alignment horizontal="center"/>
    </xf>
    <xf numFmtId="3" fontId="3" fillId="0" borderId="0" xfId="3" applyNumberFormat="1" applyFont="1"/>
    <xf numFmtId="166" fontId="23" fillId="0" borderId="0" xfId="0" applyNumberFormat="1" applyFont="1" applyFill="1"/>
    <xf numFmtId="0" fontId="23" fillId="0" borderId="0" xfId="0" applyFont="1"/>
    <xf numFmtId="166" fontId="23" fillId="0" borderId="0" xfId="0" applyNumberFormat="1" applyFont="1"/>
    <xf numFmtId="3" fontId="3" fillId="0" borderId="0" xfId="1" applyNumberFormat="1" applyFont="1" applyFill="1" applyAlignment="1">
      <alignment horizontal="right"/>
    </xf>
    <xf numFmtId="0" fontId="17" fillId="0" borderId="0" xfId="0" applyFont="1" applyFill="1"/>
    <xf numFmtId="0" fontId="3" fillId="0" borderId="4" xfId="0" applyFont="1" applyFill="1" applyBorder="1" applyAlignment="1">
      <alignment horizontal="right"/>
    </xf>
    <xf numFmtId="170" fontId="3" fillId="0" borderId="0" xfId="1" applyNumberFormat="1" applyFont="1" applyFill="1"/>
    <xf numFmtId="0" fontId="17" fillId="0" borderId="0" xfId="0" quotePrefix="1" applyFont="1" applyFill="1"/>
    <xf numFmtId="3" fontId="3" fillId="0" borderId="0" xfId="4" applyNumberFormat="1" applyFont="1" applyFill="1" applyBorder="1" applyAlignment="1">
      <alignment vertical="center"/>
    </xf>
    <xf numFmtId="3" fontId="3" fillId="0" borderId="0" xfId="1" applyNumberFormat="1" applyFont="1" applyFill="1"/>
    <xf numFmtId="3" fontId="23" fillId="0" borderId="0" xfId="1" applyNumberFormat="1" applyFont="1" applyFill="1"/>
    <xf numFmtId="0" fontId="25" fillId="0" borderId="0" xfId="0" applyFont="1"/>
    <xf numFmtId="172" fontId="4" fillId="0" borderId="0" xfId="5" applyNumberFormat="1" applyFont="1" applyFill="1" applyBorder="1"/>
    <xf numFmtId="0" fontId="3" fillId="0" borderId="0" xfId="10" applyNumberFormat="1" applyFont="1" applyBorder="1" applyAlignment="1">
      <alignment horizontal="left"/>
    </xf>
    <xf numFmtId="0" fontId="4" fillId="0" borderId="0" xfId="10" applyFont="1" applyBorder="1"/>
    <xf numFmtId="0" fontId="28" fillId="0" borderId="0" xfId="11" applyFont="1"/>
    <xf numFmtId="0" fontId="4" fillId="0" borderId="0" xfId="10" applyNumberFormat="1" applyFont="1" applyBorder="1" applyAlignment="1">
      <alignment horizontal="center"/>
    </xf>
    <xf numFmtId="0" fontId="28" fillId="0" borderId="0" xfId="11" applyFont="1" applyAlignment="1">
      <alignment horizontal="center" wrapText="1"/>
    </xf>
    <xf numFmtId="172" fontId="3" fillId="0" borderId="0" xfId="5" applyNumberFormat="1" applyFont="1" applyFill="1" applyBorder="1" applyAlignment="1">
      <alignment horizontal="center" wrapText="1"/>
    </xf>
    <xf numFmtId="0" fontId="28" fillId="0" borderId="0" xfId="11" applyFont="1" applyAlignment="1">
      <alignment horizontal="center"/>
    </xf>
    <xf numFmtId="37" fontId="4" fillId="0" borderId="0" xfId="10" applyNumberFormat="1" applyFont="1" applyBorder="1" applyAlignment="1">
      <alignment horizontal="center"/>
    </xf>
    <xf numFmtId="5" fontId="4" fillId="0" borderId="0" xfId="10" applyNumberFormat="1" applyFont="1" applyBorder="1"/>
    <xf numFmtId="173" fontId="4" fillId="0" borderId="0" xfId="1" applyNumberFormat="1" applyFont="1" applyBorder="1"/>
    <xf numFmtId="37" fontId="4" fillId="0" borderId="0" xfId="10" applyNumberFormat="1" applyFont="1" applyBorder="1"/>
    <xf numFmtId="172" fontId="4" fillId="0" borderId="1" xfId="5" applyNumberFormat="1" applyFont="1" applyFill="1" applyBorder="1"/>
    <xf numFmtId="37" fontId="4" fillId="0" borderId="0" xfId="10" applyNumberFormat="1" applyFont="1" applyFill="1" applyBorder="1"/>
    <xf numFmtId="37" fontId="4" fillId="0" borderId="0" xfId="10" applyNumberFormat="1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/>
    <xf numFmtId="172" fontId="4" fillId="0" borderId="0" xfId="5" applyNumberFormat="1" applyFont="1" applyFill="1" applyBorder="1" applyAlignment="1">
      <alignment horizontal="center"/>
    </xf>
    <xf numFmtId="5" fontId="7" fillId="0" borderId="0" xfId="1" applyNumberFormat="1" applyFont="1" applyBorder="1"/>
    <xf numFmtId="5" fontId="3" fillId="0" borderId="0" xfId="1" applyNumberFormat="1" applyFont="1" applyBorder="1"/>
    <xf numFmtId="0" fontId="30" fillId="0" borderId="0" xfId="0" applyFont="1" applyFill="1"/>
    <xf numFmtId="0" fontId="20" fillId="0" borderId="10" xfId="7" applyFont="1" applyFill="1" applyBorder="1" applyAlignment="1">
      <alignment horizontal="center" vertical="center"/>
    </xf>
    <xf numFmtId="0" fontId="15" fillId="0" borderId="9" xfId="7" applyFont="1" applyFill="1" applyBorder="1" applyAlignment="1">
      <alignment horizontal="center" vertical="center"/>
    </xf>
    <xf numFmtId="0" fontId="15" fillId="0" borderId="10" xfId="7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9" fillId="0" borderId="0" xfId="0" applyFont="1" applyFill="1"/>
    <xf numFmtId="3" fontId="19" fillId="0" borderId="0" xfId="0" applyNumberFormat="1" applyFont="1" applyFill="1" applyAlignment="1" applyProtection="1">
      <alignment vertical="center"/>
      <protection locked="0"/>
    </xf>
    <xf numFmtId="17" fontId="3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169" fontId="3" fillId="0" borderId="0" xfId="1" applyNumberFormat="1" applyFont="1" applyFill="1"/>
    <xf numFmtId="169" fontId="3" fillId="0" borderId="0" xfId="0" applyNumberFormat="1" applyFont="1" applyFill="1"/>
    <xf numFmtId="5" fontId="3" fillId="0" borderId="0" xfId="1" applyNumberFormat="1" applyFont="1" applyFill="1"/>
    <xf numFmtId="5" fontId="3" fillId="0" borderId="1" xfId="1" applyNumberFormat="1" applyFont="1" applyFill="1" applyBorder="1"/>
    <xf numFmtId="5" fontId="3" fillId="0" borderId="0" xfId="1" applyNumberFormat="1" applyFont="1" applyFill="1" applyBorder="1"/>
    <xf numFmtId="5" fontId="3" fillId="0" borderId="1" xfId="0" applyNumberFormat="1" applyFont="1" applyFill="1" applyBorder="1"/>
    <xf numFmtId="5" fontId="3" fillId="0" borderId="0" xfId="0" applyNumberFormat="1" applyFont="1" applyFill="1"/>
    <xf numFmtId="10" fontId="3" fillId="0" borderId="0" xfId="6" applyNumberFormat="1" applyFont="1" applyFill="1"/>
    <xf numFmtId="171" fontId="7" fillId="0" borderId="0" xfId="1" applyNumberFormat="1" applyFont="1" applyFill="1"/>
    <xf numFmtId="14" fontId="3" fillId="0" borderId="0" xfId="0" applyNumberFormat="1" applyFont="1" applyFill="1" applyAlignment="1">
      <alignment horizontal="right"/>
    </xf>
    <xf numFmtId="0" fontId="3" fillId="0" borderId="0" xfId="0" applyFont="1" applyFill="1" applyBorder="1"/>
    <xf numFmtId="3" fontId="3" fillId="0" borderId="0" xfId="0" applyNumberFormat="1" applyFont="1" applyFill="1" applyBorder="1"/>
    <xf numFmtId="166" fontId="7" fillId="0" borderId="0" xfId="0" applyNumberFormat="1" applyFont="1" applyFill="1"/>
    <xf numFmtId="0" fontId="23" fillId="0" borderId="0" xfId="0" applyFont="1" applyFill="1"/>
    <xf numFmtId="0" fontId="7" fillId="0" borderId="0" xfId="0" applyFont="1" applyFill="1"/>
    <xf numFmtId="5" fontId="3" fillId="0" borderId="0" xfId="0" applyNumberFormat="1" applyFont="1" applyFill="1" applyBorder="1"/>
    <xf numFmtId="9" fontId="3" fillId="0" borderId="0" xfId="6" applyFont="1" applyFill="1"/>
    <xf numFmtId="3" fontId="3" fillId="0" borderId="2" xfId="4" applyNumberFormat="1" applyFont="1" applyFill="1" applyBorder="1" applyAlignment="1">
      <alignment vertical="center"/>
    </xf>
    <xf numFmtId="3" fontId="3" fillId="0" borderId="3" xfId="4" applyNumberFormat="1" applyFont="1" applyFill="1" applyBorder="1" applyAlignment="1">
      <alignment vertical="center"/>
    </xf>
    <xf numFmtId="0" fontId="3" fillId="0" borderId="2" xfId="4" applyFont="1" applyFill="1" applyBorder="1" applyAlignment="1">
      <alignment horizontal="center" vertical="center"/>
    </xf>
    <xf numFmtId="0" fontId="3" fillId="0" borderId="3" xfId="4" applyFont="1" applyFill="1" applyBorder="1" applyAlignment="1">
      <alignment vertical="center"/>
    </xf>
    <xf numFmtId="0" fontId="3" fillId="0" borderId="0" xfId="0" applyFont="1" applyAlignment="1">
      <alignment horizontal="center" wrapText="1"/>
    </xf>
    <xf numFmtId="5" fontId="7" fillId="0" borderId="1" xfId="1" applyNumberFormat="1" applyFont="1" applyBorder="1"/>
    <xf numFmtId="0" fontId="23" fillId="0" borderId="0" xfId="0" applyFont="1" applyFill="1" applyAlignment="1">
      <alignment horizontal="right"/>
    </xf>
    <xf numFmtId="0" fontId="7" fillId="0" borderId="0" xfId="0" quotePrefix="1" applyFont="1" applyAlignment="1">
      <alignment horizontal="right"/>
    </xf>
    <xf numFmtId="0" fontId="3" fillId="0" borderId="0" xfId="0" applyFont="1" applyAlignment="1">
      <alignment horizontal="center"/>
    </xf>
    <xf numFmtId="5" fontId="23" fillId="0" borderId="0" xfId="1" applyNumberFormat="1" applyFont="1" applyFill="1" applyBorder="1"/>
    <xf numFmtId="14" fontId="7" fillId="0" borderId="0" xfId="0" applyNumberFormat="1" applyFont="1" applyFill="1" applyAlignment="1">
      <alignment horizontal="right"/>
    </xf>
    <xf numFmtId="14" fontId="7" fillId="0" borderId="0" xfId="0" applyNumberFormat="1" applyFont="1" applyAlignment="1">
      <alignment horizontal="right"/>
    </xf>
    <xf numFmtId="14" fontId="7" fillId="0" borderId="0" xfId="0" applyNumberFormat="1" applyFont="1" applyFill="1"/>
    <xf numFmtId="14" fontId="7" fillId="0" borderId="0" xfId="0" applyNumberFormat="1" applyFont="1"/>
    <xf numFmtId="0" fontId="15" fillId="0" borderId="8" xfId="0" applyFont="1" applyFill="1" applyBorder="1" applyAlignment="1">
      <alignment horizontal="right" vertical="top"/>
    </xf>
    <xf numFmtId="174" fontId="3" fillId="0" borderId="0" xfId="1" applyNumberFormat="1" applyFont="1" applyFill="1" applyBorder="1"/>
    <xf numFmtId="0" fontId="0" fillId="0" borderId="0" xfId="0" applyAlignment="1">
      <alignment shrinkToFit="1"/>
    </xf>
    <xf numFmtId="3" fontId="31" fillId="0" borderId="19" xfId="0" applyNumberFormat="1" applyFont="1" applyBorder="1" applyAlignment="1">
      <alignment horizontal="right" vertical="top"/>
    </xf>
    <xf numFmtId="3" fontId="32" fillId="2" borderId="20" xfId="0" applyNumberFormat="1" applyFont="1" applyFill="1" applyBorder="1" applyAlignment="1">
      <alignment horizontal="right" vertical="top"/>
    </xf>
    <xf numFmtId="0" fontId="33" fillId="3" borderId="21" xfId="0" applyFont="1" applyFill="1" applyBorder="1" applyAlignment="1">
      <alignment horizontal="left" vertical="top"/>
    </xf>
    <xf numFmtId="0" fontId="34" fillId="4" borderId="22" xfId="0" applyFont="1" applyFill="1" applyBorder="1" applyAlignment="1">
      <alignment horizontal="left" vertical="top"/>
    </xf>
    <xf numFmtId="0" fontId="0" fillId="0" borderId="19" xfId="0" applyBorder="1"/>
    <xf numFmtId="0" fontId="0" fillId="5" borderId="23" xfId="0" applyFill="1" applyBorder="1"/>
    <xf numFmtId="3" fontId="35" fillId="5" borderId="23" xfId="0" applyNumberFormat="1" applyFont="1" applyFill="1" applyBorder="1" applyAlignment="1">
      <alignment horizontal="right" vertical="top"/>
    </xf>
    <xf numFmtId="3" fontId="31" fillId="6" borderId="19" xfId="0" applyNumberFormat="1" applyFont="1" applyFill="1" applyBorder="1" applyAlignment="1">
      <alignment horizontal="right" vertical="top"/>
    </xf>
    <xf numFmtId="0" fontId="13" fillId="0" borderId="8" xfId="0" applyFont="1" applyFill="1" applyBorder="1" applyAlignment="1">
      <alignment horizontal="left" vertical="top" wrapText="1"/>
    </xf>
    <xf numFmtId="3" fontId="23" fillId="0" borderId="0" xfId="0" applyNumberFormat="1" applyFont="1" applyFill="1" applyBorder="1"/>
    <xf numFmtId="3" fontId="23" fillId="0" borderId="0" xfId="1" applyNumberFormat="1" applyFont="1" applyFill="1" applyBorder="1"/>
    <xf numFmtId="3" fontId="23" fillId="0" borderId="0" xfId="0" applyNumberFormat="1" applyFont="1" applyFill="1"/>
    <xf numFmtId="5" fontId="36" fillId="0" borderId="0" xfId="1" applyNumberFormat="1" applyFont="1" applyFill="1" applyBorder="1"/>
    <xf numFmtId="5" fontId="37" fillId="0" borderId="0" xfId="1" applyNumberFormat="1" applyFont="1" applyFill="1" applyBorder="1"/>
    <xf numFmtId="3" fontId="32" fillId="6" borderId="20" xfId="0" applyNumberFormat="1" applyFont="1" applyFill="1" applyBorder="1" applyAlignment="1">
      <alignment horizontal="right" vertical="top"/>
    </xf>
    <xf numFmtId="0" fontId="24" fillId="0" borderId="0" xfId="4" applyFont="1" applyAlignment="1">
      <alignment horizontal="center" vertical="center"/>
    </xf>
    <xf numFmtId="164" fontId="3" fillId="0" borderId="0" xfId="0" applyNumberFormat="1" applyFont="1" applyAlignment="1" applyProtection="1">
      <alignment horizontal="center" vertical="center"/>
      <protection locked="0"/>
    </xf>
  </cellXfs>
  <cellStyles count="12">
    <cellStyle name="Comma" xfId="1" builtinId="3"/>
    <cellStyle name="Currency" xfId="5" builtinId="4"/>
    <cellStyle name="Normal" xfId="0" builtinId="0"/>
    <cellStyle name="Normal 2" xfId="7"/>
    <cellStyle name="Normal 3" xfId="9"/>
    <cellStyle name="Normal 8" xfId="11"/>
    <cellStyle name="Normal_1980-93DDH" xfId="2"/>
    <cellStyle name="Normal_25 Yr Avg Calc" xfId="3"/>
    <cellStyle name="Normal_WAElec6_97" xfId="10"/>
    <cellStyle name="Normal_WSCoefficientSum05" xfId="4"/>
    <cellStyle name="Percent" xfId="6" builtinId="5"/>
    <cellStyle name="Percent 2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BFF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/2019_%20WA%20Elec%20and%20Gas%20General%20Rate%20Case/Adjustments/2018%20WA%20Natural%20Gas%20RR%20Model%20AMA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/2019_%20WA%20Elec%20and%20Gas%20General%20Rate%20Case/Adjustments/ConvFactor-12.31.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0SED RATES"/>
      <sheetName val="RR SUMMARY"/>
      <sheetName val="CF"/>
      <sheetName val="Acerno_Cache_XXXXX"/>
      <sheetName val="ADJ DETAIL INPUT"/>
      <sheetName val="ADJ SUMMARY"/>
      <sheetName val="DEBT CALC"/>
      <sheetName val="ROO INPUT"/>
      <sheetName val="LEAD SHEETS-DO NOT ENTER"/>
      <sheetName val="Recap Summary"/>
    </sheetNames>
    <sheetDataSet>
      <sheetData sheetId="0" refreshError="1"/>
      <sheetData sheetId="1" refreshError="1"/>
      <sheetData sheetId="2">
        <row r="15">
          <cell r="E15">
            <v>3.7810000000000001E-3</v>
          </cell>
        </row>
        <row r="17">
          <cell r="E17">
            <v>2E-3</v>
          </cell>
        </row>
        <row r="19">
          <cell r="E19">
            <v>3.8373999999999998E-2</v>
          </cell>
        </row>
        <row r="23">
          <cell r="E23">
            <v>0.95584500000000006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 ID Elec"/>
      <sheetName val="CF ID Gas"/>
      <sheetName val="CF WA Elec"/>
      <sheetName val="CF WA Gas"/>
      <sheetName val="C-UE-1"/>
      <sheetName val="C-UE-2"/>
      <sheetName val="C-UE-3"/>
      <sheetName val="Acerno_Cache_XXXXX"/>
      <sheetName val="SharedInputs"/>
    </sheetNames>
    <sheetDataSet>
      <sheetData sheetId="0"/>
      <sheetData sheetId="1">
        <row r="11">
          <cell r="E11">
            <v>2.9220000000000001E-3</v>
          </cell>
        </row>
        <row r="13">
          <cell r="E13">
            <v>2.2750000000000001E-3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O190"/>
  <sheetViews>
    <sheetView topLeftCell="A153" workbookViewId="0">
      <selection activeCell="C100" sqref="C100:C101"/>
    </sheetView>
  </sheetViews>
  <sheetFormatPr defaultRowHeight="13.2"/>
  <cols>
    <col min="1" max="1" width="15.875" style="50" customWidth="1"/>
    <col min="2" max="2" width="13.5" style="50" customWidth="1"/>
    <col min="3" max="3" width="18.125" style="50" customWidth="1"/>
    <col min="4" max="5" width="12.75" style="54" customWidth="1"/>
    <col min="6" max="6" width="13.25" style="54" customWidth="1"/>
    <col min="7" max="7" width="13" style="54" customWidth="1"/>
    <col min="8" max="9" width="12.375" style="54" customWidth="1"/>
    <col min="10" max="10" width="11.75" style="54" customWidth="1"/>
    <col min="11" max="11" width="10.875" style="54" customWidth="1"/>
    <col min="12" max="12" width="11.375" style="54" customWidth="1"/>
    <col min="13" max="13" width="11.875" style="50" customWidth="1"/>
    <col min="14" max="14" width="12.125" style="50" customWidth="1"/>
    <col min="15" max="15" width="12.75" style="50" customWidth="1"/>
    <col min="16" max="16384" width="9" style="50"/>
  </cols>
  <sheetData>
    <row r="1" spans="1:15">
      <c r="B1" s="201">
        <v>12.2018</v>
      </c>
      <c r="C1" s="51" t="s">
        <v>10</v>
      </c>
      <c r="D1" s="175" t="s">
        <v>11</v>
      </c>
      <c r="E1" s="175" t="s">
        <v>12</v>
      </c>
      <c r="F1" s="175" t="s">
        <v>13</v>
      </c>
      <c r="G1" s="175" t="s">
        <v>14</v>
      </c>
      <c r="H1" s="175" t="s">
        <v>15</v>
      </c>
      <c r="I1" s="175" t="s">
        <v>16</v>
      </c>
      <c r="J1" s="175" t="s">
        <v>17</v>
      </c>
      <c r="K1" s="175" t="s">
        <v>18</v>
      </c>
      <c r="L1" s="175" t="s">
        <v>19</v>
      </c>
      <c r="M1" s="55" t="s">
        <v>20</v>
      </c>
      <c r="N1" s="55" t="s">
        <v>21</v>
      </c>
      <c r="O1" s="55" t="s">
        <v>22</v>
      </c>
    </row>
    <row r="2" spans="1:15">
      <c r="B2" s="50" t="s">
        <v>231</v>
      </c>
      <c r="C2" s="57">
        <f>SUM(D2:O2)</f>
        <v>6520</v>
      </c>
      <c r="D2" s="176">
        <f>DDH!$C8</f>
        <v>1105</v>
      </c>
      <c r="E2" s="176">
        <f>DDH!$C9</f>
        <v>914</v>
      </c>
      <c r="F2" s="176">
        <f>DDH!$C10</f>
        <v>772</v>
      </c>
      <c r="G2" s="176">
        <f>DDH!$C11</f>
        <v>542</v>
      </c>
      <c r="H2" s="176">
        <f>DDH!$C12</f>
        <v>304</v>
      </c>
      <c r="I2" s="176">
        <f>DDH!$C13</f>
        <v>136</v>
      </c>
      <c r="J2" s="176">
        <f>DDH!$C14</f>
        <v>27</v>
      </c>
      <c r="K2" s="176">
        <f>DDH!$C15</f>
        <v>30</v>
      </c>
      <c r="L2" s="176">
        <f>DDH!$C16</f>
        <v>160</v>
      </c>
      <c r="M2" s="57">
        <f>DDH!$C17</f>
        <v>529</v>
      </c>
      <c r="N2" s="57">
        <f>DDH!$C18</f>
        <v>864</v>
      </c>
      <c r="O2" s="57">
        <f>DDH!$C19</f>
        <v>1137</v>
      </c>
    </row>
    <row r="3" spans="1:15">
      <c r="B3" s="50" t="s">
        <v>232</v>
      </c>
      <c r="C3" s="57">
        <f>SUM(D3:O3)</f>
        <v>6064</v>
      </c>
      <c r="D3" s="176">
        <f>DDH!$B8</f>
        <v>960</v>
      </c>
      <c r="E3" s="176">
        <f>DDH!$B9</f>
        <v>968</v>
      </c>
      <c r="F3" s="176">
        <f>DDH!$B10</f>
        <v>783</v>
      </c>
      <c r="G3" s="176">
        <f>DDH!$B11</f>
        <v>543</v>
      </c>
      <c r="H3" s="176">
        <f>DDH!$B12</f>
        <v>125</v>
      </c>
      <c r="I3" s="176">
        <f>DDH!$B13</f>
        <v>103</v>
      </c>
      <c r="J3" s="176">
        <f>DDH!$B14</f>
        <v>15</v>
      </c>
      <c r="K3" s="176">
        <f>DDH!$B15</f>
        <v>24</v>
      </c>
      <c r="L3" s="176">
        <f>DDH!$B16</f>
        <v>169</v>
      </c>
      <c r="M3" s="57">
        <f>DDH!$B17</f>
        <v>517</v>
      </c>
      <c r="N3" s="57">
        <f>DDH!$B18</f>
        <v>836</v>
      </c>
      <c r="O3" s="57">
        <f>DDH!$B19</f>
        <v>1021</v>
      </c>
    </row>
    <row r="4" spans="1:15">
      <c r="B4" s="51" t="s">
        <v>347</v>
      </c>
      <c r="C4" s="56">
        <f>C2-C3</f>
        <v>456</v>
      </c>
      <c r="D4" s="98">
        <f t="shared" ref="D4:O4" si="0">D2-D3</f>
        <v>145</v>
      </c>
      <c r="E4" s="98">
        <f t="shared" si="0"/>
        <v>-54</v>
      </c>
      <c r="F4" s="98">
        <f t="shared" si="0"/>
        <v>-11</v>
      </c>
      <c r="G4" s="98">
        <f t="shared" si="0"/>
        <v>-1</v>
      </c>
      <c r="H4" s="98">
        <f t="shared" si="0"/>
        <v>179</v>
      </c>
      <c r="I4" s="98">
        <f t="shared" si="0"/>
        <v>33</v>
      </c>
      <c r="J4" s="98">
        <f t="shared" si="0"/>
        <v>12</v>
      </c>
      <c r="K4" s="98">
        <f t="shared" si="0"/>
        <v>6</v>
      </c>
      <c r="L4" s="98">
        <f t="shared" si="0"/>
        <v>-9</v>
      </c>
      <c r="M4" s="56">
        <f t="shared" si="0"/>
        <v>12</v>
      </c>
      <c r="N4" s="56">
        <f t="shared" si="0"/>
        <v>28</v>
      </c>
      <c r="O4" s="56">
        <f t="shared" si="0"/>
        <v>116</v>
      </c>
    </row>
    <row r="6" spans="1:15">
      <c r="A6" s="50" t="s">
        <v>9</v>
      </c>
    </row>
    <row r="8" spans="1:15">
      <c r="A8" s="50" t="s">
        <v>28</v>
      </c>
      <c r="C8" s="57">
        <f>SUM(D8:O8)</f>
        <v>5821198</v>
      </c>
      <c r="D8" s="176">
        <f>D9*D10*D$4</f>
        <v>2065756</v>
      </c>
      <c r="E8" s="176">
        <f t="shared" ref="E8:O8" si="1">E9*E10*E$4</f>
        <v>-768632</v>
      </c>
      <c r="F8" s="176">
        <f t="shared" si="1"/>
        <v>-157480</v>
      </c>
      <c r="G8" s="176">
        <f t="shared" si="1"/>
        <v>-11868</v>
      </c>
      <c r="H8" s="176">
        <f t="shared" si="1"/>
        <v>2129131</v>
      </c>
      <c r="I8" s="176">
        <f t="shared" si="1"/>
        <v>392269</v>
      </c>
      <c r="J8" s="176">
        <f t="shared" si="1"/>
        <v>0</v>
      </c>
      <c r="K8" s="176">
        <f t="shared" si="1"/>
        <v>0</v>
      </c>
      <c r="L8" s="176">
        <f t="shared" si="1"/>
        <v>0</v>
      </c>
      <c r="M8" s="57">
        <f t="shared" si="1"/>
        <v>145531</v>
      </c>
      <c r="N8" s="57">
        <f t="shared" si="1"/>
        <v>337438</v>
      </c>
      <c r="O8" s="57">
        <f t="shared" si="1"/>
        <v>1689053</v>
      </c>
    </row>
    <row r="9" spans="1:15">
      <c r="A9" s="50" t="s">
        <v>23</v>
      </c>
      <c r="C9" s="57">
        <f>AVERAGE(D9:O9)</f>
        <v>149668</v>
      </c>
      <c r="D9" s="176">
        <f>'Cust Data'!F101</f>
        <v>148402</v>
      </c>
      <c r="E9" s="176">
        <f>'Cust Data'!G101</f>
        <v>148270</v>
      </c>
      <c r="F9" s="176">
        <f>'Cust Data'!H101</f>
        <v>149129</v>
      </c>
      <c r="G9" s="176">
        <f>'Cust Data'!I101</f>
        <v>148905</v>
      </c>
      <c r="H9" s="176">
        <f>'Cust Data'!J101</f>
        <v>149242</v>
      </c>
      <c r="I9" s="176">
        <f>'Cust Data'!K101</f>
        <v>149146</v>
      </c>
      <c r="J9" s="176">
        <f>'Cust Data'!L101</f>
        <v>149489</v>
      </c>
      <c r="K9" s="176">
        <f>'Cust Data'!M101</f>
        <v>149789</v>
      </c>
      <c r="L9" s="176">
        <f>'Cust Data'!N101</f>
        <v>148593</v>
      </c>
      <c r="M9" s="57">
        <f>'Cust Data'!O101</f>
        <v>152165</v>
      </c>
      <c r="N9" s="57">
        <f>'Cust Data'!P101</f>
        <v>151209</v>
      </c>
      <c r="O9" s="57">
        <f>'Cust Data'!Q101</f>
        <v>151675</v>
      </c>
    </row>
    <row r="10" spans="1:15">
      <c r="A10" s="50" t="s">
        <v>24</v>
      </c>
      <c r="B10" s="68"/>
      <c r="C10" s="57"/>
      <c r="D10" s="177">
        <f>'Gas Factors'!$E$7</f>
        <v>9.6000000000000002E-2</v>
      </c>
      <c r="E10" s="177">
        <f>'Gas Factors'!$E$7</f>
        <v>9.6000000000000002E-2</v>
      </c>
      <c r="F10" s="177">
        <f>'Gas Factors'!$E$7</f>
        <v>9.6000000000000002E-2</v>
      </c>
      <c r="G10" s="177">
        <f>'Gas Factors'!$D$7</f>
        <v>7.9699999999999993E-2</v>
      </c>
      <c r="H10" s="177">
        <f>'Gas Factors'!$D$7</f>
        <v>7.9699999999999993E-2</v>
      </c>
      <c r="I10" s="177">
        <f>'Gas Factors'!$D$7</f>
        <v>7.9699999999999993E-2</v>
      </c>
      <c r="J10" s="178">
        <v>0</v>
      </c>
      <c r="K10" s="178">
        <v>0</v>
      </c>
      <c r="L10" s="178">
        <v>0</v>
      </c>
      <c r="M10" s="69">
        <f>'Gas Factors'!$D$7</f>
        <v>7.9699999999999993E-2</v>
      </c>
      <c r="N10" s="69">
        <f>'Gas Factors'!$D$7</f>
        <v>7.9699999999999993E-2</v>
      </c>
      <c r="O10" s="69">
        <f>'Gas Factors'!$E$7</f>
        <v>9.6000000000000002E-2</v>
      </c>
    </row>
    <row r="11" spans="1:15">
      <c r="C11" s="57"/>
      <c r="D11" s="145"/>
      <c r="E11" s="145"/>
      <c r="F11" s="145"/>
      <c r="G11" s="145"/>
      <c r="H11" s="145"/>
      <c r="I11" s="145"/>
      <c r="J11" s="145"/>
      <c r="K11" s="145"/>
      <c r="L11" s="145"/>
      <c r="M11" s="58"/>
      <c r="N11" s="58"/>
      <c r="O11" s="58"/>
    </row>
    <row r="12" spans="1:15">
      <c r="A12" s="50" t="s">
        <v>29</v>
      </c>
      <c r="C12" s="57">
        <f>SUM(D12:O12)</f>
        <v>1024965</v>
      </c>
      <c r="D12" s="176">
        <f t="shared" ref="D12:O12" si="2">D13*D14*D$4</f>
        <v>399314</v>
      </c>
      <c r="E12" s="176">
        <f t="shared" si="2"/>
        <v>-147531</v>
      </c>
      <c r="F12" s="176">
        <f t="shared" si="2"/>
        <v>-30030</v>
      </c>
      <c r="G12" s="176">
        <f t="shared" si="2"/>
        <v>-1912</v>
      </c>
      <c r="H12" s="176">
        <f t="shared" si="2"/>
        <v>345056</v>
      </c>
      <c r="I12" s="176">
        <f t="shared" si="2"/>
        <v>63460</v>
      </c>
      <c r="J12" s="176">
        <f t="shared" si="2"/>
        <v>0</v>
      </c>
      <c r="K12" s="176">
        <f t="shared" si="2"/>
        <v>0</v>
      </c>
      <c r="L12" s="176">
        <f t="shared" si="2"/>
        <v>0</v>
      </c>
      <c r="M12" s="57">
        <f t="shared" si="2"/>
        <v>23719</v>
      </c>
      <c r="N12" s="57">
        <f t="shared" si="2"/>
        <v>54177</v>
      </c>
      <c r="O12" s="57">
        <f t="shared" si="2"/>
        <v>318712</v>
      </c>
    </row>
    <row r="13" spans="1:15">
      <c r="A13" s="50" t="s">
        <v>23</v>
      </c>
      <c r="C13" s="57">
        <f>AVERAGE(D13:O13)</f>
        <v>12025</v>
      </c>
      <c r="D13" s="145">
        <f>'Cust Data'!F102</f>
        <v>12105</v>
      </c>
      <c r="E13" s="145">
        <f>'Cust Data'!G102</f>
        <v>12009</v>
      </c>
      <c r="F13" s="145">
        <f>'Cust Data'!H102</f>
        <v>12000</v>
      </c>
      <c r="G13" s="145">
        <f>'Cust Data'!I102</f>
        <v>11933</v>
      </c>
      <c r="H13" s="145">
        <f>'Cust Data'!J102</f>
        <v>12033</v>
      </c>
      <c r="I13" s="145">
        <f>'Cust Data'!K102</f>
        <v>12004</v>
      </c>
      <c r="J13" s="145">
        <f>'Cust Data'!L102</f>
        <v>12003</v>
      </c>
      <c r="K13" s="145">
        <f>'Cust Data'!M102</f>
        <v>12011</v>
      </c>
      <c r="L13" s="145">
        <f>'Cust Data'!N102</f>
        <v>11705</v>
      </c>
      <c r="M13" s="58">
        <f>'Cust Data'!O102</f>
        <v>12338</v>
      </c>
      <c r="N13" s="58">
        <f>'Cust Data'!P102</f>
        <v>12078</v>
      </c>
      <c r="O13" s="58">
        <f>'Cust Data'!Q102</f>
        <v>12077</v>
      </c>
    </row>
    <row r="14" spans="1:15">
      <c r="A14" s="50" t="s">
        <v>24</v>
      </c>
      <c r="C14" s="57"/>
      <c r="D14" s="177">
        <f>'Gas Factors'!$E$8</f>
        <v>0.22750000000000001</v>
      </c>
      <c r="E14" s="177">
        <f>'Gas Factors'!$E$8</f>
        <v>0.22750000000000001</v>
      </c>
      <c r="F14" s="177">
        <f>'Gas Factors'!$E$8</f>
        <v>0.22750000000000001</v>
      </c>
      <c r="G14" s="177">
        <f>'Gas Factors'!$D$8</f>
        <v>0.16020000000000001</v>
      </c>
      <c r="H14" s="177">
        <f>'Gas Factors'!$D$8</f>
        <v>0.16020000000000001</v>
      </c>
      <c r="I14" s="177">
        <f>'Gas Factors'!$D$8</f>
        <v>0.16020000000000001</v>
      </c>
      <c r="J14" s="178">
        <v>0</v>
      </c>
      <c r="K14" s="178">
        <v>0</v>
      </c>
      <c r="L14" s="178">
        <v>0</v>
      </c>
      <c r="M14" s="69">
        <f>'Gas Factors'!$D$8</f>
        <v>0.16020000000000001</v>
      </c>
      <c r="N14" s="69">
        <f>'Gas Factors'!$D$8</f>
        <v>0.16020000000000001</v>
      </c>
      <c r="O14" s="69">
        <f>'Gas Factors'!$E$8</f>
        <v>0.22750000000000001</v>
      </c>
    </row>
    <row r="15" spans="1:15">
      <c r="C15" s="57"/>
      <c r="D15" s="145"/>
      <c r="E15" s="145"/>
      <c r="F15" s="145"/>
      <c r="G15" s="145"/>
      <c r="H15" s="145"/>
      <c r="I15" s="145"/>
      <c r="J15" s="145"/>
      <c r="K15" s="145"/>
      <c r="L15" s="145"/>
      <c r="M15" s="58"/>
      <c r="N15" s="58"/>
      <c r="O15" s="58"/>
    </row>
    <row r="16" spans="1:15">
      <c r="A16" s="50" t="s">
        <v>30</v>
      </c>
      <c r="C16" s="57">
        <f>SUM(D16:O16)</f>
        <v>10816</v>
      </c>
      <c r="D16" s="176">
        <f t="shared" ref="D16:O16" si="3">D17*D18*D$4</f>
        <v>4640</v>
      </c>
      <c r="E16" s="176">
        <f t="shared" si="3"/>
        <v>-1638</v>
      </c>
      <c r="F16" s="176">
        <f t="shared" si="3"/>
        <v>-329</v>
      </c>
      <c r="G16" s="176">
        <f t="shared" si="3"/>
        <v>-19</v>
      </c>
      <c r="H16" s="176">
        <f t="shared" si="3"/>
        <v>3317</v>
      </c>
      <c r="I16" s="176">
        <f t="shared" si="3"/>
        <v>620</v>
      </c>
      <c r="J16" s="176">
        <f t="shared" si="3"/>
        <v>0</v>
      </c>
      <c r="K16" s="176">
        <f t="shared" si="3"/>
        <v>0</v>
      </c>
      <c r="L16" s="176">
        <f t="shared" si="3"/>
        <v>0</v>
      </c>
      <c r="M16" s="57">
        <f t="shared" si="3"/>
        <v>235</v>
      </c>
      <c r="N16" s="57">
        <f t="shared" si="3"/>
        <v>519</v>
      </c>
      <c r="O16" s="57">
        <f t="shared" si="3"/>
        <v>3471</v>
      </c>
    </row>
    <row r="17" spans="1:15">
      <c r="A17" s="50" t="s">
        <v>23</v>
      </c>
      <c r="C17" s="57">
        <f>AVERAGE(D17:O17)</f>
        <v>72</v>
      </c>
      <c r="D17" s="145">
        <f>'Cust Data'!F103</f>
        <v>77</v>
      </c>
      <c r="E17" s="145">
        <f>'Cust Data'!G103</f>
        <v>73</v>
      </c>
      <c r="F17" s="145">
        <f>'Cust Data'!H103</f>
        <v>72</v>
      </c>
      <c r="G17" s="145">
        <f>'Cust Data'!I103</f>
        <v>71</v>
      </c>
      <c r="H17" s="145">
        <f>'Cust Data'!J103</f>
        <v>71</v>
      </c>
      <c r="I17" s="145">
        <f>'Cust Data'!K103</f>
        <v>72</v>
      </c>
      <c r="J17" s="145">
        <f>'Cust Data'!L103</f>
        <v>71</v>
      </c>
      <c r="K17" s="145">
        <f>'Cust Data'!M103</f>
        <v>72</v>
      </c>
      <c r="L17" s="145">
        <f>'Cust Data'!N103</f>
        <v>69</v>
      </c>
      <c r="M17" s="58">
        <f>'Cust Data'!O103</f>
        <v>75</v>
      </c>
      <c r="N17" s="58">
        <f>'Cust Data'!P103</f>
        <v>71</v>
      </c>
      <c r="O17" s="58">
        <f>'Cust Data'!Q103</f>
        <v>72</v>
      </c>
    </row>
    <row r="18" spans="1:15">
      <c r="A18" s="50" t="s">
        <v>24</v>
      </c>
      <c r="C18" s="57"/>
      <c r="D18" s="177">
        <f>'Gas Factors'!$E$9</f>
        <v>0.41560000000000002</v>
      </c>
      <c r="E18" s="177">
        <f>'Gas Factors'!$E$9</f>
        <v>0.41560000000000002</v>
      </c>
      <c r="F18" s="177">
        <f>'Gas Factors'!$E$9</f>
        <v>0.41560000000000002</v>
      </c>
      <c r="G18" s="177">
        <f>'Gas Factors'!$D$9</f>
        <v>0.26100000000000001</v>
      </c>
      <c r="H18" s="177">
        <f>'Gas Factors'!$D$9</f>
        <v>0.26100000000000001</v>
      </c>
      <c r="I18" s="177">
        <f>'Gas Factors'!$D$9</f>
        <v>0.26100000000000001</v>
      </c>
      <c r="J18" s="178">
        <v>0</v>
      </c>
      <c r="K18" s="178">
        <v>0</v>
      </c>
      <c r="L18" s="178">
        <v>0</v>
      </c>
      <c r="M18" s="69">
        <f>'Gas Factors'!$D$9</f>
        <v>0.26100000000000001</v>
      </c>
      <c r="N18" s="69">
        <f>'Gas Factors'!$D$9</f>
        <v>0.26100000000000001</v>
      </c>
      <c r="O18" s="69">
        <f>'Gas Factors'!$E$9</f>
        <v>0.41560000000000002</v>
      </c>
    </row>
    <row r="19" spans="1:15">
      <c r="C19" s="57"/>
      <c r="D19" s="145"/>
      <c r="E19" s="145"/>
      <c r="F19" s="145"/>
      <c r="G19" s="145"/>
      <c r="H19" s="145"/>
      <c r="I19" s="145"/>
      <c r="J19" s="145"/>
      <c r="K19" s="145"/>
      <c r="L19" s="145"/>
      <c r="M19" s="58"/>
      <c r="N19" s="58"/>
      <c r="O19" s="58"/>
    </row>
    <row r="20" spans="1:15">
      <c r="A20" s="50" t="s">
        <v>31</v>
      </c>
      <c r="C20" s="57">
        <f>SUM(D20:O20)</f>
        <v>107950</v>
      </c>
      <c r="D20" s="176">
        <f t="shared" ref="D20:O20" si="4">D21*D22*D$4</f>
        <v>35499</v>
      </c>
      <c r="E20" s="176">
        <f t="shared" si="4"/>
        <v>-12855</v>
      </c>
      <c r="F20" s="176">
        <f t="shared" si="4"/>
        <v>-2665</v>
      </c>
      <c r="G20" s="176">
        <f t="shared" si="4"/>
        <v>-233</v>
      </c>
      <c r="H20" s="176">
        <f t="shared" si="4"/>
        <v>41528</v>
      </c>
      <c r="I20" s="176">
        <f t="shared" si="4"/>
        <v>7629</v>
      </c>
      <c r="J20" s="176">
        <f t="shared" si="4"/>
        <v>0</v>
      </c>
      <c r="K20" s="176">
        <f t="shared" si="4"/>
        <v>0</v>
      </c>
      <c r="L20" s="176">
        <f t="shared" si="4"/>
        <v>0</v>
      </c>
      <c r="M20" s="57">
        <f t="shared" si="4"/>
        <v>2892</v>
      </c>
      <c r="N20" s="57">
        <f t="shared" si="4"/>
        <v>6679</v>
      </c>
      <c r="O20" s="57">
        <f t="shared" si="4"/>
        <v>29476</v>
      </c>
    </row>
    <row r="21" spans="1:15">
      <c r="A21" s="50" t="s">
        <v>23</v>
      </c>
      <c r="C21" s="57">
        <f>AVERAGE(D21:O21)</f>
        <v>288</v>
      </c>
      <c r="D21" s="176">
        <f>'Cust Data'!F105</f>
        <v>290</v>
      </c>
      <c r="E21" s="176">
        <f>'Cust Data'!G105</f>
        <v>282</v>
      </c>
      <c r="F21" s="176">
        <f>'Cust Data'!H105</f>
        <v>287</v>
      </c>
      <c r="G21" s="176">
        <f>'Cust Data'!I105</f>
        <v>285</v>
      </c>
      <c r="H21" s="176">
        <f>'Cust Data'!J105</f>
        <v>284</v>
      </c>
      <c r="I21" s="176">
        <f>'Cust Data'!K105</f>
        <v>283</v>
      </c>
      <c r="J21" s="176">
        <f>'Cust Data'!L105</f>
        <v>285</v>
      </c>
      <c r="K21" s="176">
        <f>'Cust Data'!M105</f>
        <v>284</v>
      </c>
      <c r="L21" s="176">
        <f>'Cust Data'!N105</f>
        <v>283</v>
      </c>
      <c r="M21" s="57">
        <f>'Cust Data'!O105</f>
        <v>295</v>
      </c>
      <c r="N21" s="57">
        <f>'Cust Data'!P105</f>
        <v>292</v>
      </c>
      <c r="O21" s="57">
        <f>'Cust Data'!Q105</f>
        <v>301</v>
      </c>
    </row>
    <row r="22" spans="1:15">
      <c r="A22" s="50" t="s">
        <v>24</v>
      </c>
      <c r="B22" s="68"/>
      <c r="C22" s="57"/>
      <c r="D22" s="177">
        <f>'Gas Factors'!$E$11</f>
        <v>0.84419999999999995</v>
      </c>
      <c r="E22" s="177">
        <f>'Gas Factors'!$E$11</f>
        <v>0.84419999999999995</v>
      </c>
      <c r="F22" s="177">
        <f>'Gas Factors'!$E$11</f>
        <v>0.84419999999999995</v>
      </c>
      <c r="G22" s="177">
        <f>'Gas Factors'!$D$11</f>
        <v>0.81689999999999996</v>
      </c>
      <c r="H22" s="177">
        <f>'Gas Factors'!$D$11</f>
        <v>0.81689999999999996</v>
      </c>
      <c r="I22" s="177">
        <f>'Gas Factors'!$D$11</f>
        <v>0.81689999999999996</v>
      </c>
      <c r="J22" s="178">
        <v>0</v>
      </c>
      <c r="K22" s="178">
        <v>0</v>
      </c>
      <c r="L22" s="178">
        <v>0</v>
      </c>
      <c r="M22" s="69">
        <f>'Gas Factors'!$D$11</f>
        <v>0.81689999999999996</v>
      </c>
      <c r="N22" s="69">
        <f>'Gas Factors'!$D$11</f>
        <v>0.81689999999999996</v>
      </c>
      <c r="O22" s="69">
        <f>'Gas Factors'!$E$11</f>
        <v>0.84419999999999995</v>
      </c>
    </row>
    <row r="23" spans="1:15">
      <c r="C23" s="57"/>
      <c r="D23" s="145"/>
      <c r="E23" s="145"/>
      <c r="F23" s="145"/>
      <c r="G23" s="145"/>
      <c r="H23" s="145"/>
      <c r="I23" s="145"/>
      <c r="J23" s="145"/>
      <c r="K23" s="145"/>
      <c r="L23" s="145"/>
      <c r="M23" s="58"/>
      <c r="N23" s="58"/>
      <c r="O23" s="58"/>
    </row>
    <row r="24" spans="1:15">
      <c r="A24" s="50" t="s">
        <v>32</v>
      </c>
      <c r="C24" s="57">
        <f>SUM(D24:O24)</f>
        <v>2071543</v>
      </c>
      <c r="D24" s="176">
        <f t="shared" ref="D24:O24" si="5">D25*D26*D$4</f>
        <v>737988</v>
      </c>
      <c r="E24" s="176">
        <f t="shared" si="5"/>
        <v>-277232</v>
      </c>
      <c r="F24" s="176">
        <f t="shared" si="5"/>
        <v>-57576</v>
      </c>
      <c r="G24" s="176">
        <f t="shared" si="5"/>
        <v>-4231</v>
      </c>
      <c r="H24" s="176">
        <f t="shared" si="5"/>
        <v>751786</v>
      </c>
      <c r="I24" s="176">
        <f t="shared" si="5"/>
        <v>139888</v>
      </c>
      <c r="J24" s="176">
        <f t="shared" si="5"/>
        <v>0</v>
      </c>
      <c r="K24" s="176">
        <f t="shared" si="5"/>
        <v>0</v>
      </c>
      <c r="L24" s="176">
        <f t="shared" si="5"/>
        <v>0</v>
      </c>
      <c r="M24" s="57">
        <f t="shared" si="5"/>
        <v>51732</v>
      </c>
      <c r="N24" s="57">
        <f t="shared" si="5"/>
        <v>117992</v>
      </c>
      <c r="O24" s="57">
        <f t="shared" si="5"/>
        <v>611196</v>
      </c>
    </row>
    <row r="25" spans="1:15">
      <c r="A25" s="50" t="s">
        <v>23</v>
      </c>
      <c r="C25" s="57">
        <f>AVERAGE(D25:O25)</f>
        <v>2692</v>
      </c>
      <c r="D25" s="145">
        <f>'Cust Data'!F106</f>
        <v>2639</v>
      </c>
      <c r="E25" s="145">
        <f>'Cust Data'!G106</f>
        <v>2662</v>
      </c>
      <c r="F25" s="145">
        <f>'Cust Data'!H106</f>
        <v>2714</v>
      </c>
      <c r="G25" s="145">
        <f>'Cust Data'!I106</f>
        <v>2704</v>
      </c>
      <c r="H25" s="145">
        <f>'Cust Data'!J106</f>
        <v>2684</v>
      </c>
      <c r="I25" s="145">
        <f>'Cust Data'!K106</f>
        <v>2709</v>
      </c>
      <c r="J25" s="145">
        <f>'Cust Data'!L106</f>
        <v>2696</v>
      </c>
      <c r="K25" s="145">
        <f>'Cust Data'!M106</f>
        <v>2691</v>
      </c>
      <c r="L25" s="145">
        <f>'Cust Data'!N106</f>
        <v>2627</v>
      </c>
      <c r="M25" s="58">
        <f>'Cust Data'!O106</f>
        <v>2755</v>
      </c>
      <c r="N25" s="58">
        <f>'Cust Data'!P106</f>
        <v>2693</v>
      </c>
      <c r="O25" s="58">
        <f>'Cust Data'!Q106</f>
        <v>2732</v>
      </c>
    </row>
    <row r="26" spans="1:15">
      <c r="A26" s="50" t="s">
        <v>24</v>
      </c>
      <c r="C26" s="57"/>
      <c r="D26" s="177">
        <f>'Gas Factors'!$E$12</f>
        <v>1.9286000000000001</v>
      </c>
      <c r="E26" s="177">
        <f>'Gas Factors'!$E$12</f>
        <v>1.9286000000000001</v>
      </c>
      <c r="F26" s="177">
        <f>'Gas Factors'!$E$12</f>
        <v>1.9286000000000001</v>
      </c>
      <c r="G26" s="177">
        <f>'Gas Factors'!$D$12</f>
        <v>1.5648</v>
      </c>
      <c r="H26" s="177">
        <f>'Gas Factors'!$D$12</f>
        <v>1.5648</v>
      </c>
      <c r="I26" s="177">
        <f>'Gas Factors'!$D$12</f>
        <v>1.5648</v>
      </c>
      <c r="J26" s="178">
        <v>0</v>
      </c>
      <c r="K26" s="178">
        <v>0</v>
      </c>
      <c r="L26" s="178">
        <v>0</v>
      </c>
      <c r="M26" s="69">
        <f>'Gas Factors'!$D$12</f>
        <v>1.5648</v>
      </c>
      <c r="N26" s="69">
        <f>'Gas Factors'!$D$12</f>
        <v>1.5648</v>
      </c>
      <c r="O26" s="69">
        <f>'Gas Factors'!$E$12</f>
        <v>1.9286000000000001</v>
      </c>
    </row>
    <row r="27" spans="1:15">
      <c r="C27" s="57"/>
      <c r="D27" s="145"/>
      <c r="E27" s="145"/>
      <c r="F27" s="145"/>
      <c r="G27" s="145"/>
      <c r="H27" s="145"/>
      <c r="I27" s="145"/>
      <c r="J27" s="145"/>
      <c r="K27" s="145"/>
      <c r="L27" s="145"/>
      <c r="M27" s="58"/>
      <c r="N27" s="58"/>
      <c r="O27" s="58"/>
    </row>
    <row r="28" spans="1:15">
      <c r="A28" s="50" t="s">
        <v>33</v>
      </c>
      <c r="C28" s="57">
        <f>SUM(D28:O28)</f>
        <v>59580</v>
      </c>
      <c r="D28" s="176">
        <f t="shared" ref="D28:O28" si="6">D29*D30*D$4</f>
        <v>18882</v>
      </c>
      <c r="E28" s="176">
        <f t="shared" si="6"/>
        <v>-6902</v>
      </c>
      <c r="F28" s="176">
        <f t="shared" si="6"/>
        <v>-1459</v>
      </c>
      <c r="G28" s="176">
        <f t="shared" si="6"/>
        <v>-134</v>
      </c>
      <c r="H28" s="176">
        <f t="shared" si="6"/>
        <v>23900</v>
      </c>
      <c r="I28" s="176">
        <f t="shared" si="6"/>
        <v>4326</v>
      </c>
      <c r="J28" s="176">
        <f t="shared" si="6"/>
        <v>0</v>
      </c>
      <c r="K28" s="176">
        <f t="shared" si="6"/>
        <v>0</v>
      </c>
      <c r="L28" s="176">
        <f t="shared" si="6"/>
        <v>0</v>
      </c>
      <c r="M28" s="57">
        <f t="shared" si="6"/>
        <v>1631</v>
      </c>
      <c r="N28" s="57">
        <f t="shared" si="6"/>
        <v>3671</v>
      </c>
      <c r="O28" s="57">
        <f t="shared" si="6"/>
        <v>15665</v>
      </c>
    </row>
    <row r="29" spans="1:15">
      <c r="A29" s="50" t="s">
        <v>23</v>
      </c>
      <c r="C29" s="57">
        <f>AVERAGE(D29:O29)</f>
        <v>54</v>
      </c>
      <c r="D29" s="145">
        <f>'Cust Data'!F107</f>
        <v>54</v>
      </c>
      <c r="E29" s="145">
        <f>'Cust Data'!G107</f>
        <v>53</v>
      </c>
      <c r="F29" s="145">
        <f>'Cust Data'!H107</f>
        <v>55</v>
      </c>
      <c r="G29" s="145">
        <f>'Cust Data'!I107</f>
        <v>55</v>
      </c>
      <c r="H29" s="145">
        <f>'Cust Data'!J107</f>
        <v>55</v>
      </c>
      <c r="I29" s="145">
        <f>'Cust Data'!K107</f>
        <v>54</v>
      </c>
      <c r="J29" s="145">
        <f>'Cust Data'!L107</f>
        <v>56</v>
      </c>
      <c r="K29" s="145">
        <f>'Cust Data'!M107</f>
        <v>55</v>
      </c>
      <c r="L29" s="145">
        <f>'Cust Data'!N107</f>
        <v>50</v>
      </c>
      <c r="M29" s="58">
        <f>'Cust Data'!O107</f>
        <v>56</v>
      </c>
      <c r="N29" s="58">
        <f>'Cust Data'!P107</f>
        <v>54</v>
      </c>
      <c r="O29" s="58">
        <f>'Cust Data'!Q107</f>
        <v>56</v>
      </c>
    </row>
    <row r="30" spans="1:15">
      <c r="A30" s="50" t="s">
        <v>24</v>
      </c>
      <c r="C30" s="57"/>
      <c r="D30" s="177">
        <f>'Gas Factors'!$E$13</f>
        <v>2.4115000000000002</v>
      </c>
      <c r="E30" s="177">
        <f>'Gas Factors'!$E$13</f>
        <v>2.4115000000000002</v>
      </c>
      <c r="F30" s="177">
        <f>'Gas Factors'!$E$13</f>
        <v>2.4115000000000002</v>
      </c>
      <c r="G30" s="177">
        <f>'Gas Factors'!$D$13</f>
        <v>2.4276</v>
      </c>
      <c r="H30" s="177">
        <f>'Gas Factors'!$D$13</f>
        <v>2.4276</v>
      </c>
      <c r="I30" s="177">
        <f>'Gas Factors'!$D$13</f>
        <v>2.4276</v>
      </c>
      <c r="J30" s="178">
        <v>0</v>
      </c>
      <c r="K30" s="178">
        <v>0</v>
      </c>
      <c r="L30" s="178">
        <v>0</v>
      </c>
      <c r="M30" s="69">
        <f>'Gas Factors'!$D$13</f>
        <v>2.4276</v>
      </c>
      <c r="N30" s="69">
        <f>'Gas Factors'!$D$13</f>
        <v>2.4276</v>
      </c>
      <c r="O30" s="69">
        <f>'Gas Factors'!$E$13</f>
        <v>2.4115000000000002</v>
      </c>
    </row>
    <row r="31" spans="1:15">
      <c r="C31" s="57"/>
      <c r="D31" s="176"/>
      <c r="E31" s="176"/>
      <c r="F31" s="176"/>
      <c r="G31" s="176"/>
      <c r="H31" s="176"/>
      <c r="I31" s="176"/>
      <c r="J31" s="176"/>
      <c r="K31" s="176"/>
      <c r="L31" s="176"/>
      <c r="M31" s="57"/>
      <c r="N31" s="57"/>
      <c r="O31" s="57"/>
    </row>
    <row r="32" spans="1:15">
      <c r="A32" s="50" t="s">
        <v>34</v>
      </c>
      <c r="C32" s="57">
        <f>SUM(D32:O32)</f>
        <v>68078</v>
      </c>
      <c r="D32" s="176">
        <f t="shared" ref="D32:O32" si="7">D33*D34*D$4</f>
        <v>28932</v>
      </c>
      <c r="E32" s="176">
        <f t="shared" si="7"/>
        <v>-10775</v>
      </c>
      <c r="F32" s="176">
        <f t="shared" si="7"/>
        <v>-2195</v>
      </c>
      <c r="G32" s="176">
        <f t="shared" si="7"/>
        <v>-197</v>
      </c>
      <c r="H32" s="176">
        <f t="shared" si="7"/>
        <v>35346</v>
      </c>
      <c r="I32" s="176">
        <f t="shared" si="7"/>
        <v>6516</v>
      </c>
      <c r="J32" s="176">
        <f t="shared" si="7"/>
        <v>0</v>
      </c>
      <c r="K32" s="176">
        <f t="shared" si="7"/>
        <v>0</v>
      </c>
      <c r="L32" s="176">
        <f t="shared" si="7"/>
        <v>0</v>
      </c>
      <c r="M32" s="57">
        <f t="shared" si="7"/>
        <v>2607</v>
      </c>
      <c r="N32" s="57">
        <f t="shared" si="7"/>
        <v>5529</v>
      </c>
      <c r="O32" s="57">
        <f t="shared" si="7"/>
        <v>2315</v>
      </c>
    </row>
    <row r="33" spans="1:15">
      <c r="A33" s="50" t="s">
        <v>23</v>
      </c>
      <c r="C33" s="57">
        <f>AVERAGE(D33:O33)</f>
        <v>19</v>
      </c>
      <c r="D33" s="145">
        <f>'Cust Data'!F110</f>
        <v>20</v>
      </c>
      <c r="E33" s="145">
        <f>'Cust Data'!G110</f>
        <v>20</v>
      </c>
      <c r="F33" s="145">
        <f>'Cust Data'!H110</f>
        <v>20</v>
      </c>
      <c r="G33" s="145">
        <f>'Cust Data'!I110</f>
        <v>20</v>
      </c>
      <c r="H33" s="145">
        <f>'Cust Data'!J110</f>
        <v>20</v>
      </c>
      <c r="I33" s="145">
        <f>'Cust Data'!K110</f>
        <v>20</v>
      </c>
      <c r="J33" s="145">
        <f>'Cust Data'!L110</f>
        <v>20</v>
      </c>
      <c r="K33" s="145">
        <f>'Cust Data'!M110</f>
        <v>21</v>
      </c>
      <c r="L33" s="145">
        <f>'Cust Data'!N110</f>
        <v>17</v>
      </c>
      <c r="M33" s="58">
        <f>'Cust Data'!O110</f>
        <v>22</v>
      </c>
      <c r="N33" s="58">
        <f>'Cust Data'!P110</f>
        <v>20</v>
      </c>
      <c r="O33" s="58">
        <f>'Cust Data'!Q110</f>
        <v>2</v>
      </c>
    </row>
    <row r="34" spans="1:15">
      <c r="A34" s="50" t="s">
        <v>24</v>
      </c>
      <c r="C34" s="57"/>
      <c r="D34" s="177">
        <f>'Gas Factors'!$E$15</f>
        <v>9.9763999999999999</v>
      </c>
      <c r="E34" s="177">
        <f>'Gas Factors'!$E$15</f>
        <v>9.9763999999999999</v>
      </c>
      <c r="F34" s="177">
        <f>'Gas Factors'!$E$15</f>
        <v>9.9763999999999999</v>
      </c>
      <c r="G34" s="177">
        <f>'Gas Factors'!$D$15</f>
        <v>9.8732000000000006</v>
      </c>
      <c r="H34" s="177">
        <f>'Gas Factors'!$D$15</f>
        <v>9.8732000000000006</v>
      </c>
      <c r="I34" s="177">
        <f>'Gas Factors'!$D$15</f>
        <v>9.8732000000000006</v>
      </c>
      <c r="J34" s="178">
        <v>0</v>
      </c>
      <c r="K34" s="178">
        <v>0</v>
      </c>
      <c r="L34" s="178">
        <v>0</v>
      </c>
      <c r="M34" s="69">
        <f>'Gas Factors'!$D$15</f>
        <v>9.8732000000000006</v>
      </c>
      <c r="N34" s="69">
        <f>'Gas Factors'!$D$15</f>
        <v>9.8732000000000006</v>
      </c>
      <c r="O34" s="69">
        <f>'Gas Factors'!$E$15</f>
        <v>9.9763999999999999</v>
      </c>
    </row>
    <row r="35" spans="1:15">
      <c r="C35" s="57"/>
      <c r="D35" s="176"/>
      <c r="E35" s="176"/>
      <c r="F35" s="176"/>
      <c r="G35" s="176"/>
      <c r="H35" s="176"/>
      <c r="I35" s="176"/>
      <c r="J35" s="176"/>
      <c r="K35" s="176"/>
      <c r="L35" s="176"/>
      <c r="M35" s="57"/>
      <c r="N35" s="57"/>
      <c r="O35" s="57"/>
    </row>
    <row r="36" spans="1:15">
      <c r="A36" s="50" t="s">
        <v>40</v>
      </c>
      <c r="C36" s="57">
        <f>SUM(D36:O36)</f>
        <v>2660629</v>
      </c>
      <c r="D36" s="176">
        <f t="shared" ref="D36:O36" si="8">D37*D38*D$4</f>
        <v>938596</v>
      </c>
      <c r="E36" s="176">
        <f t="shared" si="8"/>
        <v>-349924</v>
      </c>
      <c r="F36" s="176">
        <f t="shared" si="8"/>
        <v>-71353</v>
      </c>
      <c r="G36" s="176">
        <f t="shared" si="8"/>
        <v>-5461</v>
      </c>
      <c r="H36" s="176">
        <f t="shared" si="8"/>
        <v>978028</v>
      </c>
      <c r="I36" s="176">
        <f t="shared" si="8"/>
        <v>180479</v>
      </c>
      <c r="J36" s="176">
        <f t="shared" si="8"/>
        <v>0</v>
      </c>
      <c r="K36" s="176">
        <f t="shared" si="8"/>
        <v>0</v>
      </c>
      <c r="L36" s="176">
        <f t="shared" si="8"/>
        <v>0</v>
      </c>
      <c r="M36" s="57">
        <f t="shared" si="8"/>
        <v>66501</v>
      </c>
      <c r="N36" s="57">
        <f t="shared" si="8"/>
        <v>155601</v>
      </c>
      <c r="O36" s="57">
        <f t="shared" si="8"/>
        <v>768162</v>
      </c>
    </row>
    <row r="37" spans="1:15">
      <c r="A37" s="50" t="s">
        <v>23</v>
      </c>
      <c r="C37" s="57">
        <f>AVERAGE(D37:O37)</f>
        <v>74617</v>
      </c>
      <c r="D37" s="176">
        <f>'Cust Data'!F115</f>
        <v>73978</v>
      </c>
      <c r="E37" s="176">
        <f>'Cust Data'!G115</f>
        <v>74058</v>
      </c>
      <c r="F37" s="176">
        <f>'Cust Data'!H115</f>
        <v>74133</v>
      </c>
      <c r="G37" s="176">
        <f>'Cust Data'!I115</f>
        <v>74203</v>
      </c>
      <c r="H37" s="176">
        <f>'Cust Data'!J115</f>
        <v>74237</v>
      </c>
      <c r="I37" s="176">
        <f>'Cust Data'!K115</f>
        <v>74308</v>
      </c>
      <c r="J37" s="176">
        <f>'Cust Data'!L115</f>
        <v>74483</v>
      </c>
      <c r="K37" s="176">
        <f>'Cust Data'!M115</f>
        <v>74741</v>
      </c>
      <c r="L37" s="176">
        <f>'Cust Data'!N115</f>
        <v>74775</v>
      </c>
      <c r="M37" s="57">
        <f>'Cust Data'!O115</f>
        <v>75296</v>
      </c>
      <c r="N37" s="57">
        <f>'Cust Data'!P115</f>
        <v>75505</v>
      </c>
      <c r="O37" s="57">
        <f>'Cust Data'!Q115</f>
        <v>75681</v>
      </c>
    </row>
    <row r="38" spans="1:15">
      <c r="A38" s="50" t="s">
        <v>24</v>
      </c>
      <c r="B38" s="68"/>
      <c r="C38" s="57"/>
      <c r="D38" s="177">
        <f>'Gas Factors'!$E$19</f>
        <v>8.7499999999999994E-2</v>
      </c>
      <c r="E38" s="177">
        <f>'Gas Factors'!$E$19</f>
        <v>8.7499999999999994E-2</v>
      </c>
      <c r="F38" s="177">
        <f>'Gas Factors'!$E$19</f>
        <v>8.7499999999999994E-2</v>
      </c>
      <c r="G38" s="177">
        <f>'Gas Factors'!$D$19</f>
        <v>7.3599999999999999E-2</v>
      </c>
      <c r="H38" s="177">
        <f>'Gas Factors'!$D$19</f>
        <v>7.3599999999999999E-2</v>
      </c>
      <c r="I38" s="177">
        <f>'Gas Factors'!$D$19</f>
        <v>7.3599999999999999E-2</v>
      </c>
      <c r="J38" s="178">
        <v>0</v>
      </c>
      <c r="K38" s="178">
        <v>0</v>
      </c>
      <c r="L38" s="178">
        <v>0</v>
      </c>
      <c r="M38" s="69">
        <f>'Gas Factors'!$D$19</f>
        <v>7.3599999999999999E-2</v>
      </c>
      <c r="N38" s="69">
        <f>'Gas Factors'!$D$19</f>
        <v>7.3599999999999999E-2</v>
      </c>
      <c r="O38" s="69">
        <f>'Gas Factors'!$E$19</f>
        <v>8.7499999999999994E-2</v>
      </c>
    </row>
    <row r="39" spans="1:15">
      <c r="C39" s="57"/>
      <c r="D39" s="145"/>
      <c r="E39" s="145"/>
      <c r="F39" s="145"/>
      <c r="G39" s="145"/>
      <c r="H39" s="145"/>
      <c r="I39" s="145"/>
      <c r="J39" s="145"/>
      <c r="K39" s="145"/>
      <c r="L39" s="145"/>
      <c r="M39" s="58"/>
      <c r="N39" s="58"/>
      <c r="O39" s="58"/>
    </row>
    <row r="40" spans="1:15">
      <c r="A40" s="50" t="s">
        <v>35</v>
      </c>
      <c r="C40" s="57">
        <f>SUM(D40:O40)</f>
        <v>502603</v>
      </c>
      <c r="D40" s="176">
        <f t="shared" ref="D40:O40" si="9">D41*D42*D$4</f>
        <v>192710</v>
      </c>
      <c r="E40" s="176">
        <f t="shared" si="9"/>
        <v>-71796</v>
      </c>
      <c r="F40" s="176">
        <f t="shared" si="9"/>
        <v>-14579</v>
      </c>
      <c r="G40" s="176">
        <f t="shared" si="9"/>
        <v>-964</v>
      </c>
      <c r="H40" s="176">
        <f t="shared" si="9"/>
        <v>172203</v>
      </c>
      <c r="I40" s="176">
        <f t="shared" si="9"/>
        <v>31860</v>
      </c>
      <c r="J40" s="176">
        <f t="shared" si="9"/>
        <v>0</v>
      </c>
      <c r="K40" s="176">
        <f t="shared" si="9"/>
        <v>0</v>
      </c>
      <c r="L40" s="176">
        <f t="shared" si="9"/>
        <v>0</v>
      </c>
      <c r="M40" s="57">
        <f t="shared" si="9"/>
        <v>11698</v>
      </c>
      <c r="N40" s="57">
        <f t="shared" si="9"/>
        <v>27121</v>
      </c>
      <c r="O40" s="57">
        <f t="shared" si="9"/>
        <v>154350</v>
      </c>
    </row>
    <row r="41" spans="1:15">
      <c r="A41" s="50" t="s">
        <v>23</v>
      </c>
      <c r="C41" s="57">
        <f>AVERAGE(D41:O41)</f>
        <v>7625</v>
      </c>
      <c r="D41" s="145">
        <f>'Cust Data'!F116</f>
        <v>7625</v>
      </c>
      <c r="E41" s="145">
        <f>'Cust Data'!G116</f>
        <v>7628</v>
      </c>
      <c r="F41" s="145">
        <f>'Cust Data'!H116</f>
        <v>7604</v>
      </c>
      <c r="G41" s="145">
        <f>'Cust Data'!I116</f>
        <v>7629</v>
      </c>
      <c r="H41" s="145">
        <f>'Cust Data'!J116</f>
        <v>7611</v>
      </c>
      <c r="I41" s="145">
        <f>'Cust Data'!K116</f>
        <v>7638</v>
      </c>
      <c r="J41" s="145">
        <f>'Cust Data'!L116</f>
        <v>7624</v>
      </c>
      <c r="K41" s="145">
        <f>'Cust Data'!M116</f>
        <v>7606</v>
      </c>
      <c r="L41" s="145">
        <f>'Cust Data'!N116</f>
        <v>7528</v>
      </c>
      <c r="M41" s="58">
        <f>'Cust Data'!O116</f>
        <v>7712</v>
      </c>
      <c r="N41" s="58">
        <f>'Cust Data'!P116</f>
        <v>7663</v>
      </c>
      <c r="O41" s="58">
        <f>'Cust Data'!Q116</f>
        <v>7634</v>
      </c>
    </row>
    <row r="42" spans="1:15">
      <c r="A42" s="50" t="s">
        <v>24</v>
      </c>
      <c r="C42" s="57"/>
      <c r="D42" s="177">
        <f>'Gas Factors'!$E$20</f>
        <v>0.17430000000000001</v>
      </c>
      <c r="E42" s="177">
        <f>'Gas Factors'!$E$20</f>
        <v>0.17430000000000001</v>
      </c>
      <c r="F42" s="177">
        <f>'Gas Factors'!$E$20</f>
        <v>0.17430000000000001</v>
      </c>
      <c r="G42" s="177">
        <f>'Gas Factors'!$D$20</f>
        <v>0.12640000000000001</v>
      </c>
      <c r="H42" s="177">
        <f>'Gas Factors'!$D$20</f>
        <v>0.12640000000000001</v>
      </c>
      <c r="I42" s="177">
        <f>'Gas Factors'!$D$20</f>
        <v>0.12640000000000001</v>
      </c>
      <c r="J42" s="178">
        <v>0</v>
      </c>
      <c r="K42" s="178">
        <v>0</v>
      </c>
      <c r="L42" s="178">
        <v>0</v>
      </c>
      <c r="M42" s="69">
        <f>'Gas Factors'!$D$20</f>
        <v>0.12640000000000001</v>
      </c>
      <c r="N42" s="69">
        <f>'Gas Factors'!$D$20</f>
        <v>0.12640000000000001</v>
      </c>
      <c r="O42" s="69">
        <f>'Gas Factors'!$E$20</f>
        <v>0.17430000000000001</v>
      </c>
    </row>
    <row r="43" spans="1:15">
      <c r="C43" s="57"/>
      <c r="D43" s="145"/>
      <c r="E43" s="145"/>
      <c r="F43" s="145"/>
      <c r="G43" s="145"/>
      <c r="H43" s="145"/>
      <c r="I43" s="145"/>
      <c r="J43" s="145"/>
      <c r="K43" s="145"/>
      <c r="L43" s="145"/>
      <c r="M43" s="58"/>
      <c r="N43" s="58"/>
      <c r="O43" s="58"/>
    </row>
    <row r="44" spans="1:15">
      <c r="A44" s="50" t="s">
        <v>36</v>
      </c>
      <c r="C44" s="57">
        <f>SUM(D44:O44)</f>
        <v>6061</v>
      </c>
      <c r="D44" s="176">
        <f t="shared" ref="D44:O44" si="10">D45*D46*D$4</f>
        <v>2501</v>
      </c>
      <c r="E44" s="176">
        <f t="shared" si="10"/>
        <v>-931</v>
      </c>
      <c r="F44" s="176">
        <f t="shared" si="10"/>
        <v>-183</v>
      </c>
      <c r="G44" s="176">
        <f t="shared" si="10"/>
        <v>-11</v>
      </c>
      <c r="H44" s="176">
        <f t="shared" si="10"/>
        <v>1931</v>
      </c>
      <c r="I44" s="176">
        <f t="shared" si="10"/>
        <v>356</v>
      </c>
      <c r="J44" s="176">
        <f t="shared" si="10"/>
        <v>0</v>
      </c>
      <c r="K44" s="176">
        <f t="shared" si="10"/>
        <v>0</v>
      </c>
      <c r="L44" s="176">
        <f t="shared" si="10"/>
        <v>0</v>
      </c>
      <c r="M44" s="57">
        <f t="shared" si="10"/>
        <v>132</v>
      </c>
      <c r="N44" s="57">
        <f t="shared" si="10"/>
        <v>302</v>
      </c>
      <c r="O44" s="57">
        <f t="shared" si="10"/>
        <v>1964</v>
      </c>
    </row>
    <row r="45" spans="1:15">
      <c r="A45" s="50" t="s">
        <v>23</v>
      </c>
      <c r="C45" s="57">
        <f>AVERAGE(D45:O45)</f>
        <v>54</v>
      </c>
      <c r="D45" s="145">
        <f>'Cust Data'!F117</f>
        <v>55</v>
      </c>
      <c r="E45" s="145">
        <f>'Cust Data'!G117</f>
        <v>55</v>
      </c>
      <c r="F45" s="145">
        <f>'Cust Data'!H117</f>
        <v>53</v>
      </c>
      <c r="G45" s="145">
        <f>'Cust Data'!I117</f>
        <v>54</v>
      </c>
      <c r="H45" s="145">
        <f>'Cust Data'!J117</f>
        <v>54</v>
      </c>
      <c r="I45" s="145">
        <f>'Cust Data'!K117</f>
        <v>54</v>
      </c>
      <c r="J45" s="145">
        <f>'Cust Data'!L117</f>
        <v>52</v>
      </c>
      <c r="K45" s="145">
        <f>'Cust Data'!M117</f>
        <v>56</v>
      </c>
      <c r="L45" s="145">
        <f>'Cust Data'!N117</f>
        <v>53</v>
      </c>
      <c r="M45" s="58">
        <f>'Cust Data'!O117</f>
        <v>55</v>
      </c>
      <c r="N45" s="58">
        <f>'Cust Data'!P117</f>
        <v>54</v>
      </c>
      <c r="O45" s="58">
        <f>'Cust Data'!Q117</f>
        <v>54</v>
      </c>
    </row>
    <row r="46" spans="1:15">
      <c r="A46" s="50" t="s">
        <v>24</v>
      </c>
      <c r="C46" s="57"/>
      <c r="D46" s="177">
        <f>'Gas Factors'!$E$21</f>
        <v>0.31359999999999999</v>
      </c>
      <c r="E46" s="177">
        <f>'Gas Factors'!$E$21</f>
        <v>0.31359999999999999</v>
      </c>
      <c r="F46" s="177">
        <f>'Gas Factors'!$E$21</f>
        <v>0.31359999999999999</v>
      </c>
      <c r="G46" s="177">
        <f>'Gas Factors'!$D$21</f>
        <v>0.19980000000000001</v>
      </c>
      <c r="H46" s="177">
        <f>'Gas Factors'!$D$21</f>
        <v>0.19980000000000001</v>
      </c>
      <c r="I46" s="177">
        <f>'Gas Factors'!$D$21</f>
        <v>0.19980000000000001</v>
      </c>
      <c r="J46" s="178">
        <v>0</v>
      </c>
      <c r="K46" s="178">
        <v>0</v>
      </c>
      <c r="L46" s="178">
        <v>0</v>
      </c>
      <c r="M46" s="69">
        <f>'Gas Factors'!$D$21</f>
        <v>0.19980000000000001</v>
      </c>
      <c r="N46" s="69">
        <f>'Gas Factors'!$D$21</f>
        <v>0.19980000000000001</v>
      </c>
      <c r="O46" s="69">
        <f>'Gas Factors'!$E$21</f>
        <v>0.31359999999999999</v>
      </c>
    </row>
    <row r="47" spans="1:15">
      <c r="C47" s="57"/>
      <c r="D47" s="145"/>
      <c r="E47" s="145"/>
      <c r="F47" s="145"/>
      <c r="G47" s="145"/>
      <c r="H47" s="145"/>
      <c r="I47" s="145"/>
      <c r="J47" s="145"/>
      <c r="K47" s="145"/>
      <c r="L47" s="145"/>
      <c r="M47" s="58"/>
      <c r="N47" s="58"/>
      <c r="O47" s="58"/>
    </row>
    <row r="48" spans="1:15">
      <c r="A48" s="50" t="s">
        <v>37</v>
      </c>
      <c r="C48" s="57">
        <f>SUM(D48:O48)</f>
        <v>26753</v>
      </c>
      <c r="D48" s="176">
        <f t="shared" ref="D48:O48" si="11">D49*D50*D$4</f>
        <v>9505</v>
      </c>
      <c r="E48" s="176">
        <f t="shared" si="11"/>
        <v>-3607</v>
      </c>
      <c r="F48" s="176">
        <f t="shared" si="11"/>
        <v>-735</v>
      </c>
      <c r="G48" s="176">
        <f t="shared" si="11"/>
        <v>-53</v>
      </c>
      <c r="H48" s="176">
        <f t="shared" si="11"/>
        <v>9693</v>
      </c>
      <c r="I48" s="176">
        <f t="shared" si="11"/>
        <v>1787</v>
      </c>
      <c r="J48" s="176">
        <f t="shared" si="11"/>
        <v>0</v>
      </c>
      <c r="K48" s="176">
        <f t="shared" si="11"/>
        <v>0</v>
      </c>
      <c r="L48" s="176">
        <f t="shared" si="11"/>
        <v>0</v>
      </c>
      <c r="M48" s="57">
        <f t="shared" si="11"/>
        <v>656</v>
      </c>
      <c r="N48" s="57">
        <f t="shared" si="11"/>
        <v>1544</v>
      </c>
      <c r="O48" s="57">
        <f t="shared" si="11"/>
        <v>7963</v>
      </c>
    </row>
    <row r="49" spans="1:15">
      <c r="A49" s="50" t="s">
        <v>23</v>
      </c>
      <c r="C49" s="57">
        <f>AVERAGE(D49:O49)</f>
        <v>109</v>
      </c>
      <c r="D49" s="176">
        <f>'Cust Data'!F119</f>
        <v>106</v>
      </c>
      <c r="E49" s="176">
        <f>'Cust Data'!G119</f>
        <v>108</v>
      </c>
      <c r="F49" s="176">
        <f>'Cust Data'!H119</f>
        <v>108</v>
      </c>
      <c r="G49" s="176">
        <f>'Cust Data'!I119</f>
        <v>107</v>
      </c>
      <c r="H49" s="176">
        <f>'Cust Data'!J119</f>
        <v>109</v>
      </c>
      <c r="I49" s="176">
        <f>'Cust Data'!K119</f>
        <v>109</v>
      </c>
      <c r="J49" s="176">
        <f>'Cust Data'!L119</f>
        <v>110</v>
      </c>
      <c r="K49" s="176">
        <f>'Cust Data'!M119</f>
        <v>109</v>
      </c>
      <c r="L49" s="176">
        <f>'Cust Data'!N119</f>
        <v>108</v>
      </c>
      <c r="M49" s="57">
        <f>'Cust Data'!O119</f>
        <v>110</v>
      </c>
      <c r="N49" s="57">
        <f>'Cust Data'!P119</f>
        <v>111</v>
      </c>
      <c r="O49" s="57">
        <f>'Cust Data'!Q119</f>
        <v>111</v>
      </c>
    </row>
    <row r="50" spans="1:15">
      <c r="A50" s="50" t="s">
        <v>24</v>
      </c>
      <c r="B50" s="68"/>
      <c r="C50" s="57"/>
      <c r="D50" s="177">
        <f>'Gas Factors'!$E$23</f>
        <v>0.61839999999999995</v>
      </c>
      <c r="E50" s="177">
        <f>'Gas Factors'!$E$23</f>
        <v>0.61839999999999995</v>
      </c>
      <c r="F50" s="177">
        <f>'Gas Factors'!$E$23</f>
        <v>0.61839999999999995</v>
      </c>
      <c r="G50" s="177">
        <f>'Gas Factors'!$D$23</f>
        <v>0.49680000000000002</v>
      </c>
      <c r="H50" s="177">
        <f>'Gas Factors'!$D$23</f>
        <v>0.49680000000000002</v>
      </c>
      <c r="I50" s="177">
        <f>'Gas Factors'!$D$23</f>
        <v>0.49680000000000002</v>
      </c>
      <c r="J50" s="178">
        <v>0</v>
      </c>
      <c r="K50" s="178">
        <v>0</v>
      </c>
      <c r="L50" s="178">
        <v>0</v>
      </c>
      <c r="M50" s="69">
        <f>'Gas Factors'!$D$23</f>
        <v>0.49680000000000002</v>
      </c>
      <c r="N50" s="69">
        <f>'Gas Factors'!$D$23</f>
        <v>0.49680000000000002</v>
      </c>
      <c r="O50" s="69">
        <f>'Gas Factors'!$E$23</f>
        <v>0.61839999999999995</v>
      </c>
    </row>
    <row r="51" spans="1:15">
      <c r="C51" s="57"/>
      <c r="D51" s="145"/>
      <c r="E51" s="145"/>
      <c r="F51" s="145"/>
      <c r="G51" s="145"/>
      <c r="H51" s="145"/>
      <c r="I51" s="145"/>
      <c r="J51" s="145"/>
      <c r="K51" s="145"/>
      <c r="L51" s="145"/>
      <c r="M51" s="58"/>
      <c r="N51" s="58"/>
      <c r="O51" s="58"/>
    </row>
    <row r="52" spans="1:15">
      <c r="A52" s="50" t="s">
        <v>38</v>
      </c>
      <c r="C52" s="57">
        <f>SUM(D52:O52)</f>
        <v>600058</v>
      </c>
      <c r="D52" s="176">
        <f t="shared" ref="D52:O52" si="12">D53*D54*D$4</f>
        <v>228399</v>
      </c>
      <c r="E52" s="176">
        <f t="shared" si="12"/>
        <v>-86296</v>
      </c>
      <c r="F52" s="176">
        <f t="shared" si="12"/>
        <v>-17672</v>
      </c>
      <c r="G52" s="176">
        <f t="shared" si="12"/>
        <v>-1135</v>
      </c>
      <c r="H52" s="176">
        <f t="shared" si="12"/>
        <v>204491</v>
      </c>
      <c r="I52" s="176">
        <f t="shared" si="12"/>
        <v>37727</v>
      </c>
      <c r="J52" s="176">
        <f t="shared" si="12"/>
        <v>0</v>
      </c>
      <c r="K52" s="176">
        <f t="shared" si="12"/>
        <v>0</v>
      </c>
      <c r="L52" s="176">
        <f t="shared" si="12"/>
        <v>0</v>
      </c>
      <c r="M52" s="57">
        <f t="shared" si="12"/>
        <v>13800</v>
      </c>
      <c r="N52" s="57">
        <f t="shared" si="12"/>
        <v>31869</v>
      </c>
      <c r="O52" s="57">
        <f t="shared" si="12"/>
        <v>188875</v>
      </c>
    </row>
    <row r="53" spans="1:15">
      <c r="A53" s="50" t="s">
        <v>23</v>
      </c>
      <c r="C53" s="57">
        <f>AVERAGE(D53:O53)</f>
        <v>1341</v>
      </c>
      <c r="D53" s="145">
        <f>'Cust Data'!F120</f>
        <v>1306</v>
      </c>
      <c r="E53" s="145">
        <f>'Cust Data'!G120</f>
        <v>1325</v>
      </c>
      <c r="F53" s="145">
        <f>'Cust Data'!H120</f>
        <v>1332</v>
      </c>
      <c r="G53" s="145">
        <f>'Cust Data'!I120</f>
        <v>1342</v>
      </c>
      <c r="H53" s="145">
        <f>'Cust Data'!J120</f>
        <v>1351</v>
      </c>
      <c r="I53" s="145">
        <f>'Cust Data'!K120</f>
        <v>1352</v>
      </c>
      <c r="J53" s="145">
        <f>'Cust Data'!L120</f>
        <v>1348</v>
      </c>
      <c r="K53" s="145">
        <f>'Cust Data'!M120</f>
        <v>1338</v>
      </c>
      <c r="L53" s="145">
        <f>'Cust Data'!N120</f>
        <v>1347</v>
      </c>
      <c r="M53" s="58">
        <f>'Cust Data'!O120</f>
        <v>1360</v>
      </c>
      <c r="N53" s="58">
        <f>'Cust Data'!P120</f>
        <v>1346</v>
      </c>
      <c r="O53" s="58">
        <f>'Cust Data'!Q120</f>
        <v>1350</v>
      </c>
    </row>
    <row r="54" spans="1:15">
      <c r="A54" s="50" t="s">
        <v>24</v>
      </c>
      <c r="C54" s="57"/>
      <c r="D54" s="177">
        <f>'Gas Factors'!$E$24</f>
        <v>1.2060999999999999</v>
      </c>
      <c r="E54" s="177">
        <f>'Gas Factors'!$E$24</f>
        <v>1.2060999999999999</v>
      </c>
      <c r="F54" s="177">
        <f>'Gas Factors'!$E$24</f>
        <v>1.2060999999999999</v>
      </c>
      <c r="G54" s="177">
        <f>'Gas Factors'!$D$24</f>
        <v>0.84560000000000002</v>
      </c>
      <c r="H54" s="177">
        <f>'Gas Factors'!$D$24</f>
        <v>0.84560000000000002</v>
      </c>
      <c r="I54" s="177">
        <f>'Gas Factors'!$D$24</f>
        <v>0.84560000000000002</v>
      </c>
      <c r="J54" s="178">
        <v>0</v>
      </c>
      <c r="K54" s="178">
        <v>0</v>
      </c>
      <c r="L54" s="178">
        <v>0</v>
      </c>
      <c r="M54" s="69">
        <f>'Gas Factors'!$D$24</f>
        <v>0.84560000000000002</v>
      </c>
      <c r="N54" s="69">
        <f>'Gas Factors'!$D$24</f>
        <v>0.84560000000000002</v>
      </c>
      <c r="O54" s="69">
        <f>'Gas Factors'!$E$24</f>
        <v>1.2060999999999999</v>
      </c>
    </row>
    <row r="55" spans="1:15">
      <c r="C55" s="57"/>
      <c r="D55" s="145"/>
      <c r="E55" s="145"/>
      <c r="F55" s="145"/>
      <c r="G55" s="145"/>
      <c r="H55" s="145"/>
      <c r="I55" s="145"/>
      <c r="J55" s="145"/>
      <c r="K55" s="145"/>
      <c r="L55" s="145"/>
      <c r="M55" s="58"/>
      <c r="N55" s="58"/>
      <c r="O55" s="58"/>
    </row>
    <row r="56" spans="1:15">
      <c r="A56" s="50" t="s">
        <v>39</v>
      </c>
      <c r="C56" s="57">
        <f>SUM(D56:O56)</f>
        <v>19491</v>
      </c>
      <c r="D56" s="176">
        <f t="shared" ref="D56:O56" si="13">D57*D58*D$4</f>
        <v>9264</v>
      </c>
      <c r="E56" s="176">
        <f t="shared" si="13"/>
        <v>-3450</v>
      </c>
      <c r="F56" s="176">
        <f t="shared" si="13"/>
        <v>-703</v>
      </c>
      <c r="G56" s="176">
        <f t="shared" si="13"/>
        <v>-27</v>
      </c>
      <c r="H56" s="176">
        <f t="shared" si="13"/>
        <v>5001</v>
      </c>
      <c r="I56" s="176">
        <f t="shared" si="13"/>
        <v>898</v>
      </c>
      <c r="J56" s="176">
        <f t="shared" si="13"/>
        <v>0</v>
      </c>
      <c r="K56" s="176">
        <f t="shared" si="13"/>
        <v>0</v>
      </c>
      <c r="L56" s="176">
        <f t="shared" si="13"/>
        <v>0</v>
      </c>
      <c r="M56" s="57">
        <f t="shared" si="13"/>
        <v>335</v>
      </c>
      <c r="N56" s="57">
        <f t="shared" si="13"/>
        <v>762</v>
      </c>
      <c r="O56" s="57">
        <f t="shared" si="13"/>
        <v>7411</v>
      </c>
    </row>
    <row r="57" spans="1:15">
      <c r="A57" s="50" t="s">
        <v>23</v>
      </c>
      <c r="C57" s="57">
        <f>AVERAGE(D57:O57)</f>
        <v>38</v>
      </c>
      <c r="D57" s="145">
        <f>'Cust Data'!F121</f>
        <v>38</v>
      </c>
      <c r="E57" s="145">
        <f>'Cust Data'!G121</f>
        <v>38</v>
      </c>
      <c r="F57" s="145">
        <f>'Cust Data'!H121</f>
        <v>38</v>
      </c>
      <c r="G57" s="145">
        <f>'Cust Data'!I121</f>
        <v>38</v>
      </c>
      <c r="H57" s="145">
        <f>'Cust Data'!J121</f>
        <v>39</v>
      </c>
      <c r="I57" s="145">
        <f>'Cust Data'!K121</f>
        <v>38</v>
      </c>
      <c r="J57" s="145">
        <f>'Cust Data'!L121</f>
        <v>38</v>
      </c>
      <c r="K57" s="145">
        <f>'Cust Data'!M121</f>
        <v>38</v>
      </c>
      <c r="L57" s="145">
        <f>'Cust Data'!N121</f>
        <v>37</v>
      </c>
      <c r="M57" s="58">
        <f>'Cust Data'!O121</f>
        <v>39</v>
      </c>
      <c r="N57" s="58">
        <f>'Cust Data'!P121</f>
        <v>38</v>
      </c>
      <c r="O57" s="58">
        <f>'Cust Data'!Q121</f>
        <v>38</v>
      </c>
    </row>
    <row r="58" spans="1:15">
      <c r="A58" s="50" t="s">
        <v>24</v>
      </c>
      <c r="C58" s="57"/>
      <c r="D58" s="177">
        <f>'Gas Factors'!$E$25</f>
        <v>1.6813</v>
      </c>
      <c r="E58" s="177">
        <f>'Gas Factors'!$E$25</f>
        <v>1.6813</v>
      </c>
      <c r="F58" s="177">
        <f>'Gas Factors'!$E$25</f>
        <v>1.6813</v>
      </c>
      <c r="G58" s="177">
        <f>'Gas Factors'!$D$25</f>
        <v>0.71640000000000004</v>
      </c>
      <c r="H58" s="177">
        <f>'Gas Factors'!$D$25</f>
        <v>0.71640000000000004</v>
      </c>
      <c r="I58" s="177">
        <f>'Gas Factors'!$D$25</f>
        <v>0.71640000000000004</v>
      </c>
      <c r="J58" s="178">
        <v>0</v>
      </c>
      <c r="K58" s="178">
        <v>0</v>
      </c>
      <c r="L58" s="178">
        <v>0</v>
      </c>
      <c r="M58" s="69">
        <f>'Gas Factors'!$D$25</f>
        <v>0.71640000000000004</v>
      </c>
      <c r="N58" s="69">
        <f>'Gas Factors'!$D$25</f>
        <v>0.71640000000000004</v>
      </c>
      <c r="O58" s="69">
        <f>'Gas Factors'!$E$25</f>
        <v>1.6813</v>
      </c>
    </row>
    <row r="59" spans="1:15">
      <c r="C59" s="57"/>
      <c r="D59" s="176"/>
      <c r="E59" s="176"/>
      <c r="F59" s="176"/>
      <c r="G59" s="176"/>
      <c r="H59" s="176"/>
      <c r="I59" s="176"/>
      <c r="J59" s="176"/>
      <c r="K59" s="176"/>
      <c r="L59" s="176"/>
      <c r="M59" s="57"/>
      <c r="N59" s="57"/>
      <c r="O59" s="57"/>
    </row>
    <row r="62" spans="1:15">
      <c r="A62" s="50" t="s">
        <v>26</v>
      </c>
      <c r="C62" s="57">
        <f>SUM(D62:O62)</f>
        <v>9164130</v>
      </c>
      <c r="D62" s="176">
        <f>D8+D12+D16+D20+D24+D28+D32</f>
        <v>3291011</v>
      </c>
      <c r="E62" s="176">
        <f t="shared" ref="E62:O62" si="14">E8+E12+E16+E20+E24+E28+E32</f>
        <v>-1225565</v>
      </c>
      <c r="F62" s="176">
        <f t="shared" si="14"/>
        <v>-251734</v>
      </c>
      <c r="G62" s="176">
        <f t="shared" si="14"/>
        <v>-18594</v>
      </c>
      <c r="H62" s="176">
        <f t="shared" si="14"/>
        <v>3330064</v>
      </c>
      <c r="I62" s="176">
        <f t="shared" si="14"/>
        <v>614708</v>
      </c>
      <c r="J62" s="176">
        <f t="shared" si="14"/>
        <v>0</v>
      </c>
      <c r="K62" s="176">
        <f t="shared" si="14"/>
        <v>0</v>
      </c>
      <c r="L62" s="176">
        <f t="shared" si="14"/>
        <v>0</v>
      </c>
      <c r="M62" s="57">
        <f t="shared" si="14"/>
        <v>228347</v>
      </c>
      <c r="N62" s="57">
        <f t="shared" si="14"/>
        <v>526005</v>
      </c>
      <c r="O62" s="57">
        <f t="shared" si="14"/>
        <v>2669888</v>
      </c>
    </row>
    <row r="64" spans="1:15">
      <c r="A64" s="50" t="s">
        <v>27</v>
      </c>
      <c r="C64" s="57">
        <f>SUM(D64:O64)</f>
        <v>3815595</v>
      </c>
      <c r="D64" s="176">
        <f>D36+D40+D44+D48+D52+D56</f>
        <v>1380975</v>
      </c>
      <c r="E64" s="176">
        <f t="shared" ref="E64:O64" si="15">E36+E40+E44+E48+E52+E56</f>
        <v>-516004</v>
      </c>
      <c r="F64" s="176">
        <f t="shared" si="15"/>
        <v>-105225</v>
      </c>
      <c r="G64" s="176">
        <f t="shared" si="15"/>
        <v>-7651</v>
      </c>
      <c r="H64" s="176">
        <f t="shared" si="15"/>
        <v>1371347</v>
      </c>
      <c r="I64" s="176">
        <f t="shared" si="15"/>
        <v>253107</v>
      </c>
      <c r="J64" s="176">
        <f t="shared" si="15"/>
        <v>0</v>
      </c>
      <c r="K64" s="176">
        <f t="shared" si="15"/>
        <v>0</v>
      </c>
      <c r="L64" s="176">
        <f t="shared" si="15"/>
        <v>0</v>
      </c>
      <c r="M64" s="57">
        <f t="shared" si="15"/>
        <v>93122</v>
      </c>
      <c r="N64" s="57">
        <f t="shared" si="15"/>
        <v>217199</v>
      </c>
      <c r="O64" s="57">
        <f t="shared" si="15"/>
        <v>1128725</v>
      </c>
    </row>
    <row r="66" spans="1:15">
      <c r="A66" s="50" t="s">
        <v>41</v>
      </c>
    </row>
    <row r="68" spans="1:15">
      <c r="A68" s="50" t="s">
        <v>42</v>
      </c>
      <c r="C68" s="57">
        <f>SUM(D68:O68)</f>
        <v>6856979</v>
      </c>
      <c r="D68" s="176">
        <f>D8+D12+D16</f>
        <v>2469710</v>
      </c>
      <c r="E68" s="176">
        <f t="shared" ref="E68:O68" si="16">E8+E12+E16</f>
        <v>-917801</v>
      </c>
      <c r="F68" s="176">
        <f t="shared" si="16"/>
        <v>-187839</v>
      </c>
      <c r="G68" s="176">
        <f t="shared" si="16"/>
        <v>-13799</v>
      </c>
      <c r="H68" s="176">
        <f t="shared" si="16"/>
        <v>2477504</v>
      </c>
      <c r="I68" s="176">
        <f t="shared" si="16"/>
        <v>456349</v>
      </c>
      <c r="J68" s="176">
        <f t="shared" si="16"/>
        <v>0</v>
      </c>
      <c r="K68" s="176">
        <f t="shared" si="16"/>
        <v>0</v>
      </c>
      <c r="L68" s="176">
        <f t="shared" si="16"/>
        <v>0</v>
      </c>
      <c r="M68" s="57">
        <f t="shared" si="16"/>
        <v>169485</v>
      </c>
      <c r="N68" s="57">
        <f t="shared" si="16"/>
        <v>392134</v>
      </c>
      <c r="O68" s="57">
        <f t="shared" si="16"/>
        <v>2011236</v>
      </c>
    </row>
    <row r="69" spans="1:15">
      <c r="A69" s="50" t="s">
        <v>43</v>
      </c>
      <c r="C69" s="57">
        <f>SUM(D69:O69)</f>
        <v>2239073</v>
      </c>
      <c r="D69" s="176">
        <f>D20+D24+D28</f>
        <v>792369</v>
      </c>
      <c r="E69" s="176">
        <f t="shared" ref="E69:O69" si="17">E20+E24+E28</f>
        <v>-296989</v>
      </c>
      <c r="F69" s="176">
        <f t="shared" si="17"/>
        <v>-61700</v>
      </c>
      <c r="G69" s="176">
        <f t="shared" si="17"/>
        <v>-4598</v>
      </c>
      <c r="H69" s="176">
        <f t="shared" si="17"/>
        <v>817214</v>
      </c>
      <c r="I69" s="176">
        <f t="shared" si="17"/>
        <v>151843</v>
      </c>
      <c r="J69" s="176">
        <f t="shared" si="17"/>
        <v>0</v>
      </c>
      <c r="K69" s="176">
        <f t="shared" si="17"/>
        <v>0</v>
      </c>
      <c r="L69" s="176">
        <f t="shared" si="17"/>
        <v>0</v>
      </c>
      <c r="M69" s="57">
        <f t="shared" si="17"/>
        <v>56255</v>
      </c>
      <c r="N69" s="57">
        <f t="shared" si="17"/>
        <v>128342</v>
      </c>
      <c r="O69" s="57">
        <f t="shared" si="17"/>
        <v>656337</v>
      </c>
    </row>
    <row r="70" spans="1:15">
      <c r="A70" s="50" t="s">
        <v>44</v>
      </c>
      <c r="C70" s="57">
        <f>SUM(D70:O70)</f>
        <v>68078</v>
      </c>
      <c r="D70" s="176">
        <f>D32</f>
        <v>28932</v>
      </c>
      <c r="E70" s="176">
        <f t="shared" ref="E70:O70" si="18">E32</f>
        <v>-10775</v>
      </c>
      <c r="F70" s="176">
        <f t="shared" si="18"/>
        <v>-2195</v>
      </c>
      <c r="G70" s="176">
        <f t="shared" si="18"/>
        <v>-197</v>
      </c>
      <c r="H70" s="176">
        <f t="shared" si="18"/>
        <v>35346</v>
      </c>
      <c r="I70" s="176">
        <f t="shared" si="18"/>
        <v>6516</v>
      </c>
      <c r="J70" s="176">
        <f t="shared" si="18"/>
        <v>0</v>
      </c>
      <c r="K70" s="176">
        <f t="shared" si="18"/>
        <v>0</v>
      </c>
      <c r="L70" s="176">
        <f t="shared" si="18"/>
        <v>0</v>
      </c>
      <c r="M70" s="57">
        <f t="shared" si="18"/>
        <v>2607</v>
      </c>
      <c r="N70" s="57">
        <f t="shared" si="18"/>
        <v>5529</v>
      </c>
      <c r="O70" s="57">
        <f t="shared" si="18"/>
        <v>2315</v>
      </c>
    </row>
    <row r="72" spans="1:15">
      <c r="A72" s="50" t="s">
        <v>45</v>
      </c>
      <c r="C72" s="57">
        <f>SUM(D72:O72)</f>
        <v>3169293</v>
      </c>
      <c r="D72" s="176">
        <f>D36+D40+D44</f>
        <v>1133807</v>
      </c>
      <c r="E72" s="176">
        <f t="shared" ref="E72:O72" si="19">E36+E40+E44</f>
        <v>-422651</v>
      </c>
      <c r="F72" s="176">
        <f t="shared" si="19"/>
        <v>-86115</v>
      </c>
      <c r="G72" s="176">
        <f t="shared" si="19"/>
        <v>-6436</v>
      </c>
      <c r="H72" s="176">
        <f t="shared" si="19"/>
        <v>1152162</v>
      </c>
      <c r="I72" s="176">
        <f t="shared" si="19"/>
        <v>212695</v>
      </c>
      <c r="J72" s="176">
        <f t="shared" si="19"/>
        <v>0</v>
      </c>
      <c r="K72" s="176">
        <f t="shared" si="19"/>
        <v>0</v>
      </c>
      <c r="L72" s="176">
        <f t="shared" si="19"/>
        <v>0</v>
      </c>
      <c r="M72" s="57">
        <f t="shared" si="19"/>
        <v>78331</v>
      </c>
      <c r="N72" s="57">
        <f t="shared" si="19"/>
        <v>183024</v>
      </c>
      <c r="O72" s="57">
        <f t="shared" si="19"/>
        <v>924476</v>
      </c>
    </row>
    <row r="73" spans="1:15">
      <c r="A73" s="50" t="s">
        <v>46</v>
      </c>
      <c r="C73" s="57">
        <f>SUM(D73:O73)</f>
        <v>646302</v>
      </c>
      <c r="D73" s="176">
        <f>D48+D52+D56</f>
        <v>247168</v>
      </c>
      <c r="E73" s="176">
        <f t="shared" ref="E73:O73" si="20">E48+E52+E56</f>
        <v>-93353</v>
      </c>
      <c r="F73" s="176">
        <f t="shared" si="20"/>
        <v>-19110</v>
      </c>
      <c r="G73" s="176">
        <f t="shared" si="20"/>
        <v>-1215</v>
      </c>
      <c r="H73" s="176">
        <f t="shared" si="20"/>
        <v>219185</v>
      </c>
      <c r="I73" s="176">
        <f t="shared" si="20"/>
        <v>40412</v>
      </c>
      <c r="J73" s="176">
        <f t="shared" si="20"/>
        <v>0</v>
      </c>
      <c r="K73" s="176">
        <f t="shared" si="20"/>
        <v>0</v>
      </c>
      <c r="L73" s="176">
        <f t="shared" si="20"/>
        <v>0</v>
      </c>
      <c r="M73" s="57">
        <f t="shared" si="20"/>
        <v>14791</v>
      </c>
      <c r="N73" s="57">
        <f t="shared" si="20"/>
        <v>34175</v>
      </c>
      <c r="O73" s="57">
        <f t="shared" si="20"/>
        <v>204249</v>
      </c>
    </row>
    <row r="92" spans="1:15">
      <c r="A92" s="50" t="s">
        <v>48</v>
      </c>
    </row>
    <row r="93" spans="1:15">
      <c r="A93" s="50" t="s">
        <v>42</v>
      </c>
      <c r="C93" s="115">
        <f>SUM(D93:O93)</f>
        <v>4973157</v>
      </c>
      <c r="D93" s="179">
        <f t="shared" ref="D93:O93" si="21">D68*D140</f>
        <v>1923064</v>
      </c>
      <c r="E93" s="179">
        <f t="shared" si="21"/>
        <v>-662882</v>
      </c>
      <c r="F93" s="179">
        <f t="shared" si="21"/>
        <v>-135667</v>
      </c>
      <c r="G93" s="179">
        <f t="shared" si="21"/>
        <v>-9966</v>
      </c>
      <c r="H93" s="179">
        <f t="shared" si="21"/>
        <v>1734401</v>
      </c>
      <c r="I93" s="179">
        <f t="shared" si="21"/>
        <v>319472</v>
      </c>
      <c r="J93" s="179">
        <f t="shared" si="21"/>
        <v>0</v>
      </c>
      <c r="K93" s="179">
        <f t="shared" si="21"/>
        <v>0</v>
      </c>
      <c r="L93" s="179">
        <f t="shared" si="21"/>
        <v>0</v>
      </c>
      <c r="M93" s="115">
        <f t="shared" si="21"/>
        <v>118650</v>
      </c>
      <c r="N93" s="115">
        <f t="shared" si="21"/>
        <v>275102</v>
      </c>
      <c r="O93" s="115">
        <f t="shared" si="21"/>
        <v>1410983</v>
      </c>
    </row>
    <row r="94" spans="1:15">
      <c r="A94" s="50" t="s">
        <v>43</v>
      </c>
      <c r="C94" s="115">
        <f>SUM(D94:O94)</f>
        <v>1253458</v>
      </c>
      <c r="D94" s="179">
        <f t="shared" ref="D94:O94" si="22">D69*D141</f>
        <v>475841</v>
      </c>
      <c r="E94" s="179">
        <f t="shared" si="22"/>
        <v>-161598</v>
      </c>
      <c r="F94" s="179">
        <f t="shared" si="22"/>
        <v>-33572</v>
      </c>
      <c r="G94" s="179">
        <f t="shared" si="22"/>
        <v>-2502</v>
      </c>
      <c r="H94" s="179">
        <f t="shared" si="22"/>
        <v>440274</v>
      </c>
      <c r="I94" s="179">
        <f t="shared" si="22"/>
        <v>81805</v>
      </c>
      <c r="J94" s="179">
        <f t="shared" si="22"/>
        <v>0</v>
      </c>
      <c r="K94" s="179">
        <f t="shared" si="22"/>
        <v>0</v>
      </c>
      <c r="L94" s="179">
        <f t="shared" si="22"/>
        <v>0</v>
      </c>
      <c r="M94" s="115">
        <f t="shared" si="22"/>
        <v>30307</v>
      </c>
      <c r="N94" s="115">
        <f t="shared" si="22"/>
        <v>69170</v>
      </c>
      <c r="O94" s="115">
        <f t="shared" si="22"/>
        <v>353733</v>
      </c>
    </row>
    <row r="95" spans="1:15" ht="13.8" thickBot="1">
      <c r="A95" s="50" t="s">
        <v>44</v>
      </c>
      <c r="C95" s="115">
        <f>SUM(D95:O95)</f>
        <v>32146</v>
      </c>
      <c r="D95" s="179">
        <f t="shared" ref="D95:O95" si="23">D70*D142</f>
        <v>14707</v>
      </c>
      <c r="E95" s="179">
        <f t="shared" si="23"/>
        <v>-4869</v>
      </c>
      <c r="F95" s="179">
        <f t="shared" si="23"/>
        <v>-992</v>
      </c>
      <c r="G95" s="179">
        <f t="shared" si="23"/>
        <v>-89</v>
      </c>
      <c r="H95" s="179">
        <f t="shared" si="23"/>
        <v>15835</v>
      </c>
      <c r="I95" s="179">
        <f t="shared" si="23"/>
        <v>2919</v>
      </c>
      <c r="J95" s="179">
        <f t="shared" si="23"/>
        <v>0</v>
      </c>
      <c r="K95" s="179">
        <f t="shared" si="23"/>
        <v>0</v>
      </c>
      <c r="L95" s="179">
        <f t="shared" si="23"/>
        <v>0</v>
      </c>
      <c r="M95" s="115">
        <f t="shared" si="23"/>
        <v>1168</v>
      </c>
      <c r="N95" s="115">
        <f t="shared" si="23"/>
        <v>2444</v>
      </c>
      <c r="O95" s="115">
        <f t="shared" si="23"/>
        <v>1023</v>
      </c>
    </row>
    <row r="96" spans="1:15" ht="14.4" thickTop="1" thickBot="1">
      <c r="A96" s="50" t="s">
        <v>242</v>
      </c>
      <c r="C96" s="123">
        <f>SUM(C93:C95)</f>
        <v>6258761</v>
      </c>
      <c r="D96" s="180">
        <f>SUM(D93:D95)</f>
        <v>2413612</v>
      </c>
      <c r="E96" s="180">
        <f t="shared" ref="E96:O96" si="24">SUM(E93:E95)</f>
        <v>-829349</v>
      </c>
      <c r="F96" s="180">
        <f t="shared" si="24"/>
        <v>-170231</v>
      </c>
      <c r="G96" s="180">
        <f t="shared" si="24"/>
        <v>-12557</v>
      </c>
      <c r="H96" s="180">
        <f t="shared" si="24"/>
        <v>2190510</v>
      </c>
      <c r="I96" s="180">
        <f t="shared" si="24"/>
        <v>404196</v>
      </c>
      <c r="J96" s="180">
        <f t="shared" si="24"/>
        <v>0</v>
      </c>
      <c r="K96" s="180">
        <f t="shared" si="24"/>
        <v>0</v>
      </c>
      <c r="L96" s="180">
        <f t="shared" si="24"/>
        <v>0</v>
      </c>
      <c r="M96" s="116">
        <f t="shared" si="24"/>
        <v>150125</v>
      </c>
      <c r="N96" s="116">
        <f t="shared" si="24"/>
        <v>346716</v>
      </c>
      <c r="O96" s="116">
        <f t="shared" si="24"/>
        <v>1765739</v>
      </c>
    </row>
    <row r="97" spans="1:15" ht="13.8" thickTop="1">
      <c r="C97" s="166"/>
      <c r="D97" s="181"/>
      <c r="E97" s="181"/>
      <c r="F97" s="181"/>
      <c r="G97" s="181"/>
      <c r="H97" s="181"/>
      <c r="I97" s="181"/>
      <c r="J97" s="181"/>
      <c r="K97" s="181"/>
      <c r="L97" s="181"/>
      <c r="M97" s="167"/>
      <c r="N97" s="167"/>
      <c r="O97" s="167"/>
    </row>
    <row r="98" spans="1:15">
      <c r="A98" s="50" t="s">
        <v>307</v>
      </c>
      <c r="C98" s="166"/>
      <c r="D98" s="181"/>
      <c r="E98" s="181"/>
      <c r="F98" s="181"/>
      <c r="G98" s="181"/>
      <c r="H98" s="181"/>
      <c r="I98" s="181"/>
      <c r="J98" s="181"/>
      <c r="K98" s="181"/>
      <c r="L98" s="181"/>
      <c r="M98" s="167"/>
      <c r="N98" s="167"/>
      <c r="O98" s="167"/>
    </row>
    <row r="99" spans="1:15">
      <c r="A99" s="50" t="s">
        <v>42</v>
      </c>
      <c r="C99" s="115">
        <f t="shared" ref="C99:C101" si="25">SUM(D99:O99)</f>
        <v>2876843</v>
      </c>
      <c r="D99" s="224">
        <f>D68*$N155</f>
        <v>1080177</v>
      </c>
      <c r="E99" s="224">
        <f>E68*$J155</f>
        <v>-401419</v>
      </c>
      <c r="F99" s="224">
        <f t="shared" ref="F99:G99" si="26">F68*$J155</f>
        <v>-82155</v>
      </c>
      <c r="G99" s="224">
        <f t="shared" si="26"/>
        <v>-6035</v>
      </c>
      <c r="H99" s="203">
        <f t="shared" ref="H99" si="27">H68*$L155</f>
        <v>1028610</v>
      </c>
      <c r="I99" s="203">
        <f t="shared" ref="I99:L99" si="28">I68*$L155</f>
        <v>189467</v>
      </c>
      <c r="J99" s="203">
        <f t="shared" si="28"/>
        <v>0</v>
      </c>
      <c r="K99" s="203">
        <f t="shared" si="28"/>
        <v>0</v>
      </c>
      <c r="L99" s="203">
        <f t="shared" si="28"/>
        <v>0</v>
      </c>
      <c r="M99" s="203">
        <f t="shared" ref="M99:N99" si="29">M68*$L155</f>
        <v>70367</v>
      </c>
      <c r="N99" s="203">
        <f t="shared" si="29"/>
        <v>162806</v>
      </c>
      <c r="O99" s="203">
        <f t="shared" ref="O99" si="30">O68*$L155</f>
        <v>835025</v>
      </c>
    </row>
    <row r="100" spans="1:15">
      <c r="A100" s="50" t="s">
        <v>43</v>
      </c>
      <c r="C100" s="115">
        <f t="shared" si="25"/>
        <v>591337</v>
      </c>
      <c r="D100" s="224">
        <f>D69*$N163</f>
        <v>212704</v>
      </c>
      <c r="E100" s="224">
        <f>E69*$J163</f>
        <v>-79724</v>
      </c>
      <c r="F100" s="224">
        <f t="shared" ref="F100:G100" si="31">F69*$J163</f>
        <v>-16563</v>
      </c>
      <c r="G100" s="224">
        <f t="shared" si="31"/>
        <v>-1234</v>
      </c>
      <c r="H100" s="203">
        <f t="shared" ref="H100" si="32">H69*$L163</f>
        <v>214984</v>
      </c>
      <c r="I100" s="203">
        <f t="shared" ref="I100:L100" si="33">I69*$L163</f>
        <v>39945</v>
      </c>
      <c r="J100" s="203">
        <f t="shared" si="33"/>
        <v>0</v>
      </c>
      <c r="K100" s="203">
        <f t="shared" si="33"/>
        <v>0</v>
      </c>
      <c r="L100" s="203">
        <f t="shared" si="33"/>
        <v>0</v>
      </c>
      <c r="M100" s="203">
        <f t="shared" ref="M100:N100" si="34">M69*$L163</f>
        <v>14799</v>
      </c>
      <c r="N100" s="203">
        <f t="shared" si="34"/>
        <v>33763</v>
      </c>
      <c r="O100" s="203">
        <f t="shared" ref="O100" si="35">O69*$L163</f>
        <v>172663</v>
      </c>
    </row>
    <row r="101" spans="1:15">
      <c r="A101" s="50" t="s">
        <v>44</v>
      </c>
      <c r="C101" s="115">
        <f t="shared" si="25"/>
        <v>11388</v>
      </c>
      <c r="D101" s="224">
        <f>D70*$N173</f>
        <v>4927</v>
      </c>
      <c r="E101" s="224">
        <f>E70*$J173</f>
        <v>-1835</v>
      </c>
      <c r="F101" s="224">
        <f t="shared" ref="F101:G101" si="36">F70*$J173</f>
        <v>-374</v>
      </c>
      <c r="G101" s="224">
        <f t="shared" si="36"/>
        <v>-34</v>
      </c>
      <c r="H101" s="203">
        <f t="shared" ref="H101" si="37">H70*$L173</f>
        <v>5881</v>
      </c>
      <c r="I101" s="203">
        <f t="shared" ref="I101:L101" si="38">I70*$L173</f>
        <v>1084</v>
      </c>
      <c r="J101" s="203">
        <f t="shared" si="38"/>
        <v>0</v>
      </c>
      <c r="K101" s="203">
        <f t="shared" si="38"/>
        <v>0</v>
      </c>
      <c r="L101" s="203">
        <f t="shared" si="38"/>
        <v>0</v>
      </c>
      <c r="M101" s="203">
        <f t="shared" ref="M101:N101" si="39">M70*$L173</f>
        <v>434</v>
      </c>
      <c r="N101" s="203">
        <f t="shared" si="39"/>
        <v>920</v>
      </c>
      <c r="O101" s="203">
        <f t="shared" ref="O101" si="40">O70*$L173</f>
        <v>385</v>
      </c>
    </row>
    <row r="102" spans="1:15">
      <c r="A102" s="50" t="s">
        <v>256</v>
      </c>
      <c r="C102" s="199">
        <f>SUM(C99:C101)</f>
        <v>3479568</v>
      </c>
      <c r="D102" s="180">
        <f t="shared" ref="D102:I102" si="41">SUM(D99:D101)</f>
        <v>1297808</v>
      </c>
      <c r="E102" s="180">
        <f t="shared" si="41"/>
        <v>-482978</v>
      </c>
      <c r="F102" s="180">
        <f t="shared" si="41"/>
        <v>-99092</v>
      </c>
      <c r="G102" s="180">
        <f t="shared" si="41"/>
        <v>-7303</v>
      </c>
      <c r="H102" s="180">
        <f t="shared" si="41"/>
        <v>1249475</v>
      </c>
      <c r="I102" s="180">
        <f t="shared" si="41"/>
        <v>230496</v>
      </c>
      <c r="J102" s="180">
        <f t="shared" ref="J102:K102" si="42">SUM(J99:J101)</f>
        <v>0</v>
      </c>
      <c r="K102" s="180">
        <f t="shared" si="42"/>
        <v>0</v>
      </c>
      <c r="L102" s="180">
        <f t="shared" ref="L102:O102" si="43">SUM(L99:L101)</f>
        <v>0</v>
      </c>
      <c r="M102" s="180">
        <f t="shared" si="43"/>
        <v>85600</v>
      </c>
      <c r="N102" s="180">
        <f t="shared" si="43"/>
        <v>197489</v>
      </c>
      <c r="O102" s="180">
        <f t="shared" si="43"/>
        <v>1008073</v>
      </c>
    </row>
    <row r="103" spans="1:15" ht="13.8" thickBot="1">
      <c r="A103" s="50" t="s">
        <v>340</v>
      </c>
      <c r="C103" s="62">
        <f>C102*-D103</f>
        <v>-158905</v>
      </c>
      <c r="D103" s="209">
        <v>4.5668E-2</v>
      </c>
      <c r="E103" s="181" t="s">
        <v>337</v>
      </c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</row>
    <row r="104" spans="1:15" ht="14.4" thickTop="1" thickBot="1">
      <c r="A104" s="50" t="s">
        <v>339</v>
      </c>
      <c r="C104" s="124">
        <f>-(C102+C103)</f>
        <v>-3320663</v>
      </c>
      <c r="D104" s="192"/>
      <c r="E104" s="181"/>
      <c r="F104" s="181"/>
      <c r="G104" s="181"/>
      <c r="H104" s="181"/>
      <c r="I104" s="181"/>
      <c r="J104" s="181"/>
      <c r="K104" s="181"/>
      <c r="L104" s="181"/>
      <c r="M104" s="167"/>
      <c r="N104" s="167"/>
      <c r="O104" s="167"/>
    </row>
    <row r="105" spans="1:15" ht="13.8" thickTop="1">
      <c r="A105" s="50" t="s">
        <v>308</v>
      </c>
      <c r="C105" s="166"/>
      <c r="D105" s="181"/>
      <c r="E105" s="181"/>
      <c r="F105" s="181"/>
      <c r="G105" s="181"/>
      <c r="H105" s="181"/>
      <c r="I105" s="181"/>
      <c r="J105" s="181"/>
      <c r="K105" s="181"/>
      <c r="L105" s="181"/>
      <c r="M105" s="167"/>
      <c r="N105" s="167"/>
      <c r="O105" s="167"/>
    </row>
    <row r="106" spans="1:15">
      <c r="A106" s="50" t="s">
        <v>42</v>
      </c>
      <c r="C106" s="115">
        <f>SUM(D106:O106)</f>
        <v>2096314</v>
      </c>
      <c r="D106" s="181">
        <f t="shared" ref="D106:I106" si="44">D93-D99</f>
        <v>842887</v>
      </c>
      <c r="E106" s="181">
        <f t="shared" si="44"/>
        <v>-261463</v>
      </c>
      <c r="F106" s="181">
        <f t="shared" si="44"/>
        <v>-53512</v>
      </c>
      <c r="G106" s="181">
        <f t="shared" si="44"/>
        <v>-3931</v>
      </c>
      <c r="H106" s="181">
        <f t="shared" si="44"/>
        <v>705791</v>
      </c>
      <c r="I106" s="181">
        <f t="shared" si="44"/>
        <v>130005</v>
      </c>
      <c r="J106" s="181">
        <f t="shared" ref="J106:K106" si="45">J93-J99</f>
        <v>0</v>
      </c>
      <c r="K106" s="181">
        <f t="shared" si="45"/>
        <v>0</v>
      </c>
      <c r="L106" s="181">
        <f t="shared" ref="L106:O106" si="46">L93-L99</f>
        <v>0</v>
      </c>
      <c r="M106" s="181">
        <f t="shared" si="46"/>
        <v>48283</v>
      </c>
      <c r="N106" s="181">
        <f t="shared" si="46"/>
        <v>112296</v>
      </c>
      <c r="O106" s="181">
        <f t="shared" si="46"/>
        <v>575958</v>
      </c>
    </row>
    <row r="107" spans="1:15">
      <c r="A107" s="50" t="s">
        <v>43</v>
      </c>
      <c r="C107" s="115">
        <f>SUM(D107:O107)</f>
        <v>662121</v>
      </c>
      <c r="D107" s="181">
        <f>D94-D100</f>
        <v>263137</v>
      </c>
      <c r="E107" s="181">
        <f>E94-E100</f>
        <v>-81874</v>
      </c>
      <c r="F107" s="181">
        <f t="shared" ref="F107:G107" si="47">F94-F100</f>
        <v>-17009</v>
      </c>
      <c r="G107" s="181">
        <f t="shared" si="47"/>
        <v>-1268</v>
      </c>
      <c r="H107" s="181">
        <f t="shared" ref="H107:I107" si="48">H94-H100</f>
        <v>225290</v>
      </c>
      <c r="I107" s="181">
        <f t="shared" si="48"/>
        <v>41860</v>
      </c>
      <c r="J107" s="181">
        <f t="shared" ref="J107:K107" si="49">J94-J100</f>
        <v>0</v>
      </c>
      <c r="K107" s="181">
        <f t="shared" si="49"/>
        <v>0</v>
      </c>
      <c r="L107" s="181">
        <f t="shared" ref="L107:O107" si="50">L94-L100</f>
        <v>0</v>
      </c>
      <c r="M107" s="181">
        <f t="shared" si="50"/>
        <v>15508</v>
      </c>
      <c r="N107" s="181">
        <f t="shared" si="50"/>
        <v>35407</v>
      </c>
      <c r="O107" s="181">
        <f t="shared" si="50"/>
        <v>181070</v>
      </c>
    </row>
    <row r="108" spans="1:15">
      <c r="A108" s="50" t="s">
        <v>44</v>
      </c>
      <c r="C108" s="115">
        <f>SUM(D108:O108)</f>
        <v>20758</v>
      </c>
      <c r="D108" s="181">
        <f>D95-D101</f>
        <v>9780</v>
      </c>
      <c r="E108" s="181">
        <f>E95-E101</f>
        <v>-3034</v>
      </c>
      <c r="F108" s="181">
        <f t="shared" ref="F108:G108" si="51">F95-F101</f>
        <v>-618</v>
      </c>
      <c r="G108" s="181">
        <f t="shared" si="51"/>
        <v>-55</v>
      </c>
      <c r="H108" s="181">
        <f t="shared" ref="H108:I108" si="52">H95-H101</f>
        <v>9954</v>
      </c>
      <c r="I108" s="181">
        <f t="shared" si="52"/>
        <v>1835</v>
      </c>
      <c r="J108" s="181">
        <f t="shared" ref="J108:K108" si="53">J95-J101</f>
        <v>0</v>
      </c>
      <c r="K108" s="181">
        <f t="shared" si="53"/>
        <v>0</v>
      </c>
      <c r="L108" s="181">
        <f t="shared" ref="L108:O108" si="54">L95-L101</f>
        <v>0</v>
      </c>
      <c r="M108" s="181">
        <f t="shared" si="54"/>
        <v>734</v>
      </c>
      <c r="N108" s="181">
        <f t="shared" si="54"/>
        <v>1524</v>
      </c>
      <c r="O108" s="181">
        <f t="shared" si="54"/>
        <v>638</v>
      </c>
    </row>
    <row r="109" spans="1:15">
      <c r="A109" s="50" t="s">
        <v>256</v>
      </c>
      <c r="C109" s="199">
        <f>SUM(C106:C108)</f>
        <v>2779193</v>
      </c>
      <c r="D109" s="182">
        <f t="shared" ref="D109:I109" si="55">SUM(D106:D108)</f>
        <v>1115804</v>
      </c>
      <c r="E109" s="182">
        <f t="shared" si="55"/>
        <v>-346371</v>
      </c>
      <c r="F109" s="182">
        <f t="shared" si="55"/>
        <v>-71139</v>
      </c>
      <c r="G109" s="182">
        <f t="shared" si="55"/>
        <v>-5254</v>
      </c>
      <c r="H109" s="182">
        <f t="shared" si="55"/>
        <v>941035</v>
      </c>
      <c r="I109" s="182">
        <f t="shared" si="55"/>
        <v>173700</v>
      </c>
      <c r="J109" s="182">
        <f t="shared" ref="J109:K109" si="56">SUM(J106:J108)</f>
        <v>0</v>
      </c>
      <c r="K109" s="182">
        <f t="shared" si="56"/>
        <v>0</v>
      </c>
      <c r="L109" s="182">
        <f t="shared" ref="L109" si="57">SUM(L106:L108)</f>
        <v>0</v>
      </c>
      <c r="M109" s="182">
        <f t="shared" ref="M109:O109" si="58">SUM(M106:M108)</f>
        <v>64525</v>
      </c>
      <c r="N109" s="182">
        <f t="shared" si="58"/>
        <v>149227</v>
      </c>
      <c r="O109" s="182">
        <f t="shared" si="58"/>
        <v>757666</v>
      </c>
    </row>
    <row r="111" spans="1:15">
      <c r="A111" s="50" t="s">
        <v>45</v>
      </c>
      <c r="C111" s="115">
        <f>SUM(D111:O111)</f>
        <v>2356973</v>
      </c>
      <c r="D111" s="179">
        <f t="shared" ref="D111:O111" si="59">D72*D143</f>
        <v>916252</v>
      </c>
      <c r="E111" s="179">
        <f t="shared" si="59"/>
        <v>-318222</v>
      </c>
      <c r="F111" s="179">
        <f t="shared" si="59"/>
        <v>-64838</v>
      </c>
      <c r="G111" s="179">
        <f t="shared" si="59"/>
        <v>-4846</v>
      </c>
      <c r="H111" s="179">
        <f t="shared" si="59"/>
        <v>867486</v>
      </c>
      <c r="I111" s="179">
        <f t="shared" si="59"/>
        <v>152596</v>
      </c>
      <c r="J111" s="179">
        <f t="shared" si="59"/>
        <v>0</v>
      </c>
      <c r="K111" s="179">
        <f t="shared" si="59"/>
        <v>0</v>
      </c>
      <c r="L111" s="179">
        <f t="shared" si="59"/>
        <v>0</v>
      </c>
      <c r="M111" s="115">
        <f t="shared" si="59"/>
        <v>56198</v>
      </c>
      <c r="N111" s="115">
        <f t="shared" si="59"/>
        <v>124332</v>
      </c>
      <c r="O111" s="115">
        <f t="shared" si="59"/>
        <v>628015</v>
      </c>
    </row>
    <row r="112" spans="1:15" ht="13.8" thickBot="1">
      <c r="A112" s="50" t="s">
        <v>46</v>
      </c>
      <c r="C112" s="115">
        <f>SUM(D112:O112)</f>
        <v>323568</v>
      </c>
      <c r="D112" s="179">
        <f t="shared" ref="D112:O112" si="60">D73*D144</f>
        <v>136182</v>
      </c>
      <c r="E112" s="179">
        <f t="shared" si="60"/>
        <v>-46282</v>
      </c>
      <c r="F112" s="179">
        <f t="shared" si="60"/>
        <v>-9474</v>
      </c>
      <c r="G112" s="179">
        <f t="shared" si="60"/>
        <v>-602</v>
      </c>
      <c r="H112" s="179">
        <f t="shared" si="60"/>
        <v>108665</v>
      </c>
      <c r="I112" s="179">
        <f t="shared" si="60"/>
        <v>19286</v>
      </c>
      <c r="J112" s="179">
        <f t="shared" si="60"/>
        <v>0</v>
      </c>
      <c r="K112" s="179">
        <f t="shared" si="60"/>
        <v>0</v>
      </c>
      <c r="L112" s="179">
        <f t="shared" si="60"/>
        <v>0</v>
      </c>
      <c r="M112" s="115">
        <f t="shared" si="60"/>
        <v>7059</v>
      </c>
      <c r="N112" s="115">
        <f t="shared" si="60"/>
        <v>15586</v>
      </c>
      <c r="O112" s="115">
        <f t="shared" si="60"/>
        <v>93148</v>
      </c>
    </row>
    <row r="113" spans="1:15" ht="14.4" thickTop="1" thickBot="1">
      <c r="A113" s="50" t="s">
        <v>242</v>
      </c>
      <c r="C113" s="123">
        <f>SUM(C111:C112)</f>
        <v>2680541</v>
      </c>
      <c r="D113" s="180">
        <f>SUM(D111:D112)</f>
        <v>1052434</v>
      </c>
      <c r="E113" s="180">
        <f t="shared" ref="E113:O113" si="61">SUM(E111:E112)</f>
        <v>-364504</v>
      </c>
      <c r="F113" s="180">
        <f t="shared" si="61"/>
        <v>-74312</v>
      </c>
      <c r="G113" s="180">
        <f t="shared" si="61"/>
        <v>-5448</v>
      </c>
      <c r="H113" s="180">
        <f t="shared" si="61"/>
        <v>976151</v>
      </c>
      <c r="I113" s="180">
        <f t="shared" si="61"/>
        <v>171882</v>
      </c>
      <c r="J113" s="180">
        <f t="shared" si="61"/>
        <v>0</v>
      </c>
      <c r="K113" s="180">
        <f t="shared" si="61"/>
        <v>0</v>
      </c>
      <c r="L113" s="180">
        <f t="shared" si="61"/>
        <v>0</v>
      </c>
      <c r="M113" s="116">
        <f t="shared" si="61"/>
        <v>63257</v>
      </c>
      <c r="N113" s="116">
        <f t="shared" si="61"/>
        <v>139918</v>
      </c>
      <c r="O113" s="116">
        <f t="shared" si="61"/>
        <v>721163</v>
      </c>
    </row>
    <row r="114" spans="1:15" ht="13.8" thickTop="1">
      <c r="C114" s="166"/>
      <c r="D114" s="181"/>
      <c r="E114" s="181"/>
      <c r="F114" s="181"/>
      <c r="G114" s="181"/>
      <c r="H114" s="181"/>
      <c r="I114" s="181"/>
      <c r="J114" s="181"/>
      <c r="K114" s="181"/>
      <c r="L114" s="181"/>
      <c r="M114" s="167"/>
      <c r="N114" s="167"/>
      <c r="O114" s="167"/>
    </row>
    <row r="115" spans="1:15">
      <c r="A115" s="50" t="s">
        <v>338</v>
      </c>
      <c r="C115" s="166"/>
      <c r="D115" s="181"/>
      <c r="E115" s="181"/>
      <c r="F115" s="181"/>
      <c r="G115" s="181"/>
      <c r="H115" s="181"/>
      <c r="I115" s="181"/>
      <c r="J115" s="181"/>
      <c r="K115" s="181"/>
      <c r="L115" s="181"/>
      <c r="M115" s="167"/>
      <c r="N115" s="167"/>
      <c r="O115" s="167"/>
    </row>
    <row r="116" spans="1:15">
      <c r="A116" s="50" t="s">
        <v>45</v>
      </c>
      <c r="C116" s="115">
        <f t="shared" ref="C116:C117" si="62">SUM(D116:O116)</f>
        <v>1483144</v>
      </c>
      <c r="D116" s="223">
        <f>D72*$J$178</f>
        <v>548343</v>
      </c>
      <c r="E116" s="223">
        <f t="shared" ref="E116:H116" si="63">E72*$J$178</f>
        <v>-204407</v>
      </c>
      <c r="F116" s="223">
        <f t="shared" si="63"/>
        <v>-41648</v>
      </c>
      <c r="G116" s="223">
        <f t="shared" si="63"/>
        <v>-3113</v>
      </c>
      <c r="H116" s="223">
        <f t="shared" si="63"/>
        <v>557220</v>
      </c>
      <c r="I116" s="203">
        <f>I72*$L$178</f>
        <v>95319</v>
      </c>
      <c r="J116" s="203">
        <f t="shared" ref="J116:L116" si="64">J72*$L$178</f>
        <v>0</v>
      </c>
      <c r="K116" s="203">
        <f t="shared" si="64"/>
        <v>0</v>
      </c>
      <c r="L116" s="203">
        <f t="shared" si="64"/>
        <v>0</v>
      </c>
      <c r="M116" s="203">
        <f t="shared" ref="M116:N116" si="65">M72*$L$178</f>
        <v>35104</v>
      </c>
      <c r="N116" s="203">
        <f t="shared" si="65"/>
        <v>82022</v>
      </c>
      <c r="O116" s="203">
        <f t="shared" ref="O116" si="66">O72*$L$178</f>
        <v>414304</v>
      </c>
    </row>
    <row r="117" spans="1:15">
      <c r="A117" s="50" t="s">
        <v>46</v>
      </c>
      <c r="C117" s="115">
        <f t="shared" si="62"/>
        <v>140931</v>
      </c>
      <c r="D117" s="223">
        <f>D73*$J$187</f>
        <v>55979</v>
      </c>
      <c r="E117" s="223">
        <f t="shared" ref="E117:H117" si="67">E73*$J$187</f>
        <v>-21143</v>
      </c>
      <c r="F117" s="223">
        <f t="shared" si="67"/>
        <v>-4328</v>
      </c>
      <c r="G117" s="223">
        <f t="shared" si="67"/>
        <v>-275</v>
      </c>
      <c r="H117" s="223">
        <f t="shared" si="67"/>
        <v>49641</v>
      </c>
      <c r="I117" s="203">
        <f>I73*$L$187</f>
        <v>8403</v>
      </c>
      <c r="J117" s="203">
        <f t="shared" ref="J117:L117" si="68">J73*$L$187</f>
        <v>0</v>
      </c>
      <c r="K117" s="203">
        <f t="shared" si="68"/>
        <v>0</v>
      </c>
      <c r="L117" s="203">
        <f t="shared" si="68"/>
        <v>0</v>
      </c>
      <c r="M117" s="203">
        <f t="shared" ref="M117:N117" si="69">M73*$L$187</f>
        <v>3076</v>
      </c>
      <c r="N117" s="203">
        <f t="shared" si="69"/>
        <v>7106</v>
      </c>
      <c r="O117" s="203">
        <f t="shared" ref="O117" si="70">O73*$L$187</f>
        <v>42472</v>
      </c>
    </row>
    <row r="118" spans="1:15">
      <c r="A118" s="50" t="s">
        <v>315</v>
      </c>
      <c r="C118" s="199">
        <f>SUM(C115:C117)</f>
        <v>1624075</v>
      </c>
      <c r="D118" s="180">
        <f>SUM(D116:D117)</f>
        <v>604322</v>
      </c>
      <c r="E118" s="180">
        <f t="shared" ref="E118:L118" si="71">SUM(E116:E117)</f>
        <v>-225550</v>
      </c>
      <c r="F118" s="180">
        <f t="shared" si="71"/>
        <v>-45976</v>
      </c>
      <c r="G118" s="180">
        <f t="shared" si="71"/>
        <v>-3388</v>
      </c>
      <c r="H118" s="180">
        <f t="shared" si="71"/>
        <v>606861</v>
      </c>
      <c r="I118" s="180">
        <f t="shared" si="71"/>
        <v>103722</v>
      </c>
      <c r="J118" s="180">
        <f t="shared" si="71"/>
        <v>0</v>
      </c>
      <c r="K118" s="180">
        <f t="shared" si="71"/>
        <v>0</v>
      </c>
      <c r="L118" s="180">
        <f t="shared" si="71"/>
        <v>0</v>
      </c>
      <c r="M118" s="180">
        <f t="shared" ref="M118" si="72">SUM(M116:M117)</f>
        <v>38180</v>
      </c>
      <c r="N118" s="180">
        <f t="shared" ref="N118" si="73">SUM(N116:N117)</f>
        <v>89128</v>
      </c>
      <c r="O118" s="180">
        <f t="shared" ref="O118" si="74">SUM(O116:O117)</f>
        <v>456776</v>
      </c>
    </row>
    <row r="119" spans="1:15" ht="13.8" thickBot="1">
      <c r="A119" s="50" t="s">
        <v>340</v>
      </c>
      <c r="C119" s="62">
        <f>C118*-D119</f>
        <v>-9384</v>
      </c>
      <c r="D119" s="209">
        <v>5.7780000000000001E-3</v>
      </c>
      <c r="E119" s="192" t="s">
        <v>342</v>
      </c>
      <c r="F119" s="181"/>
      <c r="G119" s="181"/>
      <c r="H119" s="181"/>
      <c r="I119" s="181"/>
      <c r="J119" s="181"/>
      <c r="K119" s="181"/>
      <c r="L119" s="181"/>
      <c r="M119" s="167"/>
      <c r="N119" s="167"/>
      <c r="O119" s="167"/>
    </row>
    <row r="120" spans="1:15" ht="14.4" thickTop="1" thickBot="1">
      <c r="A120" s="50" t="s">
        <v>341</v>
      </c>
      <c r="C120" s="124">
        <f>-(C118+C119)</f>
        <v>-1614691</v>
      </c>
      <c r="D120" s="193"/>
      <c r="E120" s="193"/>
      <c r="F120" s="181"/>
      <c r="G120" s="181"/>
      <c r="H120" s="181"/>
      <c r="I120" s="181"/>
      <c r="J120" s="181"/>
      <c r="K120" s="181"/>
      <c r="L120" s="181"/>
      <c r="M120" s="167"/>
      <c r="N120" s="167"/>
      <c r="O120" s="167"/>
    </row>
    <row r="121" spans="1:15" ht="13.8" thickTop="1">
      <c r="A121" s="50" t="s">
        <v>308</v>
      </c>
      <c r="C121" s="166"/>
      <c r="D121" s="181"/>
      <c r="E121" s="181"/>
      <c r="F121" s="181"/>
      <c r="G121" s="181"/>
      <c r="H121" s="181"/>
      <c r="I121" s="181"/>
      <c r="J121" s="181"/>
      <c r="K121" s="181"/>
      <c r="L121" s="181"/>
      <c r="M121" s="167"/>
      <c r="N121" s="167"/>
      <c r="O121" s="167"/>
    </row>
    <row r="122" spans="1:15">
      <c r="A122" s="50" t="s">
        <v>45</v>
      </c>
      <c r="C122" s="115">
        <f>SUM(D122:O122)</f>
        <v>873829</v>
      </c>
      <c r="D122" s="181">
        <f>D111-D116</f>
        <v>367909</v>
      </c>
      <c r="E122" s="181">
        <f t="shared" ref="E122:L122" si="75">E111-E116</f>
        <v>-113815</v>
      </c>
      <c r="F122" s="181">
        <f t="shared" si="75"/>
        <v>-23190</v>
      </c>
      <c r="G122" s="181">
        <f t="shared" si="75"/>
        <v>-1733</v>
      </c>
      <c r="H122" s="181">
        <f t="shared" si="75"/>
        <v>310266</v>
      </c>
      <c r="I122" s="181">
        <f t="shared" si="75"/>
        <v>57277</v>
      </c>
      <c r="J122" s="181">
        <f t="shared" si="75"/>
        <v>0</v>
      </c>
      <c r="K122" s="181">
        <f t="shared" si="75"/>
        <v>0</v>
      </c>
      <c r="L122" s="181">
        <f t="shared" si="75"/>
        <v>0</v>
      </c>
      <c r="M122" s="181">
        <f t="shared" ref="M122:O122" si="76">M111-M116</f>
        <v>21094</v>
      </c>
      <c r="N122" s="181">
        <f t="shared" si="76"/>
        <v>42310</v>
      </c>
      <c r="O122" s="181">
        <f t="shared" si="76"/>
        <v>213711</v>
      </c>
    </row>
    <row r="123" spans="1:15">
      <c r="A123" s="50" t="s">
        <v>46</v>
      </c>
      <c r="C123" s="115">
        <f>SUM(D123:O123)</f>
        <v>182637</v>
      </c>
      <c r="D123" s="181">
        <f>D112-D117</f>
        <v>80203</v>
      </c>
      <c r="E123" s="181">
        <f t="shared" ref="E123:L123" si="77">E112-E117</f>
        <v>-25139</v>
      </c>
      <c r="F123" s="181">
        <f t="shared" si="77"/>
        <v>-5146</v>
      </c>
      <c r="G123" s="181">
        <f t="shared" si="77"/>
        <v>-327</v>
      </c>
      <c r="H123" s="181">
        <f t="shared" si="77"/>
        <v>59024</v>
      </c>
      <c r="I123" s="181">
        <f t="shared" si="77"/>
        <v>10883</v>
      </c>
      <c r="J123" s="181">
        <f t="shared" si="77"/>
        <v>0</v>
      </c>
      <c r="K123" s="181">
        <f t="shared" si="77"/>
        <v>0</v>
      </c>
      <c r="L123" s="181">
        <f t="shared" si="77"/>
        <v>0</v>
      </c>
      <c r="M123" s="181">
        <f t="shared" ref="M123:O123" si="78">M112-M117</f>
        <v>3983</v>
      </c>
      <c r="N123" s="181">
        <f t="shared" si="78"/>
        <v>8480</v>
      </c>
      <c r="O123" s="181">
        <f t="shared" si="78"/>
        <v>50676</v>
      </c>
    </row>
    <row r="124" spans="1:15">
      <c r="A124" s="50" t="s">
        <v>315</v>
      </c>
      <c r="C124" s="199">
        <f>SUM(C121:C123)</f>
        <v>1056466</v>
      </c>
      <c r="D124" s="180">
        <f>SUM(D122:D123)</f>
        <v>448112</v>
      </c>
      <c r="E124" s="180">
        <f t="shared" ref="E124:L124" si="79">SUM(E122:E123)</f>
        <v>-138954</v>
      </c>
      <c r="F124" s="180">
        <f t="shared" si="79"/>
        <v>-28336</v>
      </c>
      <c r="G124" s="180">
        <f t="shared" si="79"/>
        <v>-2060</v>
      </c>
      <c r="H124" s="180">
        <f t="shared" si="79"/>
        <v>369290</v>
      </c>
      <c r="I124" s="180">
        <f t="shared" si="79"/>
        <v>68160</v>
      </c>
      <c r="J124" s="180">
        <f t="shared" si="79"/>
        <v>0</v>
      </c>
      <c r="K124" s="180">
        <f t="shared" si="79"/>
        <v>0</v>
      </c>
      <c r="L124" s="180">
        <f t="shared" si="79"/>
        <v>0</v>
      </c>
      <c r="M124" s="180">
        <f t="shared" ref="M124" si="80">SUM(M122:M123)</f>
        <v>25077</v>
      </c>
      <c r="N124" s="180">
        <f t="shared" ref="N124" si="81">SUM(N122:N123)</f>
        <v>50790</v>
      </c>
      <c r="O124" s="180">
        <f t="shared" ref="O124" si="82">SUM(O122:O123)</f>
        <v>264387</v>
      </c>
    </row>
    <row r="125" spans="1:15">
      <c r="C125" s="72"/>
    </row>
    <row r="126" spans="1:15">
      <c r="A126" s="50" t="s">
        <v>271</v>
      </c>
    </row>
    <row r="127" spans="1:15">
      <c r="A127" s="50" t="s">
        <v>42</v>
      </c>
      <c r="C127" s="115">
        <f>SUM(D127:O127)</f>
        <v>1999650</v>
      </c>
      <c r="D127" s="179">
        <f t="shared" ref="D127:O127" si="83">D68*D146</f>
        <v>804162</v>
      </c>
      <c r="E127" s="179">
        <f t="shared" si="83"/>
        <v>-249458</v>
      </c>
      <c r="F127" s="179">
        <f t="shared" si="83"/>
        <v>-51055</v>
      </c>
      <c r="G127" s="179">
        <f t="shared" si="83"/>
        <v>-3751</v>
      </c>
      <c r="H127" s="179">
        <f t="shared" si="83"/>
        <v>673386</v>
      </c>
      <c r="I127" s="179">
        <f t="shared" si="83"/>
        <v>124036</v>
      </c>
      <c r="J127" s="179">
        <f t="shared" si="83"/>
        <v>0</v>
      </c>
      <c r="K127" s="179">
        <f t="shared" si="83"/>
        <v>0</v>
      </c>
      <c r="L127" s="179">
        <f t="shared" si="83"/>
        <v>0</v>
      </c>
      <c r="M127" s="115">
        <f t="shared" si="83"/>
        <v>46066</v>
      </c>
      <c r="N127" s="115">
        <f t="shared" si="83"/>
        <v>107076</v>
      </c>
      <c r="O127" s="115">
        <f t="shared" si="83"/>
        <v>549188</v>
      </c>
    </row>
    <row r="128" spans="1:15">
      <c r="A128" s="50" t="s">
        <v>43</v>
      </c>
      <c r="C128" s="115">
        <f>SUM(D128:O128)</f>
        <v>631551</v>
      </c>
      <c r="D128" s="179">
        <f t="shared" ref="D128:O128" si="84">D69*D147</f>
        <v>251038</v>
      </c>
      <c r="E128" s="179">
        <f t="shared" si="84"/>
        <v>-78111</v>
      </c>
      <c r="F128" s="179">
        <f t="shared" si="84"/>
        <v>-16228</v>
      </c>
      <c r="G128" s="179">
        <f t="shared" si="84"/>
        <v>-1209</v>
      </c>
      <c r="H128" s="179">
        <f t="shared" si="84"/>
        <v>214935</v>
      </c>
      <c r="I128" s="179">
        <f t="shared" si="84"/>
        <v>39936</v>
      </c>
      <c r="J128" s="179">
        <f t="shared" si="84"/>
        <v>0</v>
      </c>
      <c r="K128" s="179">
        <f t="shared" si="84"/>
        <v>0</v>
      </c>
      <c r="L128" s="179">
        <f t="shared" si="84"/>
        <v>0</v>
      </c>
      <c r="M128" s="115">
        <f t="shared" si="84"/>
        <v>14796</v>
      </c>
      <c r="N128" s="115">
        <f t="shared" si="84"/>
        <v>33758</v>
      </c>
      <c r="O128" s="115">
        <f t="shared" si="84"/>
        <v>172636</v>
      </c>
    </row>
    <row r="129" spans="1:15" ht="13.8" thickBot="1">
      <c r="A129" s="50" t="s">
        <v>44</v>
      </c>
      <c r="C129" s="115">
        <f>SUM(D129:O129)</f>
        <v>19804</v>
      </c>
      <c r="D129" s="179">
        <f t="shared" ref="D129:O129" si="85">D70*D148</f>
        <v>9331</v>
      </c>
      <c r="E129" s="179">
        <f t="shared" si="85"/>
        <v>-2895</v>
      </c>
      <c r="F129" s="179">
        <f t="shared" si="85"/>
        <v>-590</v>
      </c>
      <c r="G129" s="179">
        <f t="shared" si="85"/>
        <v>-53</v>
      </c>
      <c r="H129" s="179">
        <f t="shared" si="85"/>
        <v>9497</v>
      </c>
      <c r="I129" s="179">
        <f t="shared" si="85"/>
        <v>1751</v>
      </c>
      <c r="J129" s="179">
        <f t="shared" si="85"/>
        <v>0</v>
      </c>
      <c r="K129" s="179">
        <f t="shared" si="85"/>
        <v>0</v>
      </c>
      <c r="L129" s="179">
        <f t="shared" si="85"/>
        <v>0</v>
      </c>
      <c r="M129" s="115">
        <f t="shared" si="85"/>
        <v>700</v>
      </c>
      <c r="N129" s="115">
        <f t="shared" si="85"/>
        <v>1454</v>
      </c>
      <c r="O129" s="115">
        <f t="shared" si="85"/>
        <v>609</v>
      </c>
    </row>
    <row r="130" spans="1:15" ht="14.4" thickTop="1" thickBot="1">
      <c r="A130" s="50" t="s">
        <v>243</v>
      </c>
      <c r="C130" s="123">
        <f>SUM(C127:C129)</f>
        <v>2651005</v>
      </c>
      <c r="D130" s="182">
        <f>SUM(D127:D129)</f>
        <v>1064531</v>
      </c>
      <c r="E130" s="182">
        <f t="shared" ref="E130:O130" si="86">SUM(E127:E129)</f>
        <v>-330464</v>
      </c>
      <c r="F130" s="182">
        <f t="shared" si="86"/>
        <v>-67873</v>
      </c>
      <c r="G130" s="182">
        <f t="shared" si="86"/>
        <v>-5013</v>
      </c>
      <c r="H130" s="182">
        <f t="shared" si="86"/>
        <v>897818</v>
      </c>
      <c r="I130" s="182">
        <f t="shared" si="86"/>
        <v>165723</v>
      </c>
      <c r="J130" s="182">
        <f t="shared" si="86"/>
        <v>0</v>
      </c>
      <c r="K130" s="182">
        <f t="shared" si="86"/>
        <v>0</v>
      </c>
      <c r="L130" s="182">
        <f t="shared" si="86"/>
        <v>0</v>
      </c>
      <c r="M130" s="109">
        <f t="shared" si="86"/>
        <v>61562</v>
      </c>
      <c r="N130" s="109">
        <f t="shared" si="86"/>
        <v>142288</v>
      </c>
      <c r="O130" s="109">
        <f t="shared" si="86"/>
        <v>722433</v>
      </c>
    </row>
    <row r="131" spans="1:15" ht="14.4" thickTop="1" thickBot="1">
      <c r="B131" s="51" t="s">
        <v>310</v>
      </c>
      <c r="C131" s="123">
        <f>SUM(D131:O131)</f>
        <v>4095</v>
      </c>
      <c r="D131" s="192">
        <f t="shared" ref="D131:L131" si="87">D68*$J$158+D69*$J$166+D70*$J$176</f>
        <v>1471</v>
      </c>
      <c r="E131" s="192">
        <f t="shared" si="87"/>
        <v>-548</v>
      </c>
      <c r="F131" s="192">
        <f t="shared" si="87"/>
        <v>-112</v>
      </c>
      <c r="G131" s="192">
        <f t="shared" si="87"/>
        <v>-8</v>
      </c>
      <c r="H131" s="192">
        <f t="shared" si="87"/>
        <v>1486</v>
      </c>
      <c r="I131" s="192">
        <f t="shared" si="87"/>
        <v>274</v>
      </c>
      <c r="J131" s="192">
        <f t="shared" si="87"/>
        <v>0</v>
      </c>
      <c r="K131" s="192">
        <f t="shared" si="87"/>
        <v>0</v>
      </c>
      <c r="L131" s="192">
        <f t="shared" si="87"/>
        <v>0</v>
      </c>
      <c r="M131" s="192">
        <f>M68*$N$158+M69*$N$166+M70*$N$176</f>
        <v>102</v>
      </c>
      <c r="N131" s="192">
        <f>N68*$L$158+N69*$L$166+N70*$L$176</f>
        <v>235</v>
      </c>
      <c r="O131" s="192">
        <f>O68*$L$158+O69*$L$166+O70*$L$176</f>
        <v>1195</v>
      </c>
    </row>
    <row r="132" spans="1:15" ht="13.8" thickTop="1">
      <c r="C132" s="62"/>
      <c r="D132" s="183"/>
      <c r="E132" s="183"/>
      <c r="F132" s="183"/>
      <c r="G132" s="183"/>
      <c r="H132" s="183"/>
      <c r="I132" s="183"/>
      <c r="J132" s="183"/>
      <c r="K132" s="183"/>
      <c r="L132" s="183"/>
      <c r="M132" s="61"/>
      <c r="N132" s="61"/>
      <c r="O132" s="61"/>
    </row>
    <row r="133" spans="1:15">
      <c r="A133" s="50" t="s">
        <v>45</v>
      </c>
      <c r="C133" s="115">
        <f>SUM(D133:O133)</f>
        <v>907838</v>
      </c>
      <c r="D133" s="179">
        <f t="shared" ref="D133:O133" si="88">D72*D150</f>
        <v>365789</v>
      </c>
      <c r="E133" s="179">
        <f t="shared" si="88"/>
        <v>-113156</v>
      </c>
      <c r="F133" s="179">
        <f t="shared" si="88"/>
        <v>-23056</v>
      </c>
      <c r="G133" s="179">
        <f t="shared" si="88"/>
        <v>-1723</v>
      </c>
      <c r="H133" s="179">
        <f t="shared" si="88"/>
        <v>308468</v>
      </c>
      <c r="I133" s="179">
        <f t="shared" si="88"/>
        <v>56945</v>
      </c>
      <c r="J133" s="179">
        <f t="shared" si="88"/>
        <v>0</v>
      </c>
      <c r="K133" s="179">
        <f t="shared" si="88"/>
        <v>0</v>
      </c>
      <c r="L133" s="179">
        <f t="shared" si="88"/>
        <v>0</v>
      </c>
      <c r="M133" s="115">
        <f t="shared" si="88"/>
        <v>20972</v>
      </c>
      <c r="N133" s="115">
        <f t="shared" si="88"/>
        <v>48520</v>
      </c>
      <c r="O133" s="115">
        <f t="shared" si="88"/>
        <v>245079</v>
      </c>
    </row>
    <row r="134" spans="1:15" ht="13.8" thickBot="1">
      <c r="A134" s="50" t="s">
        <v>46</v>
      </c>
      <c r="C134" s="115">
        <f>SUM(D134:O134)</f>
        <v>185975</v>
      </c>
      <c r="D134" s="179">
        <f t="shared" ref="D134:O134" si="89">D73*D151</f>
        <v>79741</v>
      </c>
      <c r="E134" s="179">
        <f t="shared" si="89"/>
        <v>-24993</v>
      </c>
      <c r="F134" s="179">
        <f t="shared" si="89"/>
        <v>-5116</v>
      </c>
      <c r="G134" s="179">
        <f t="shared" si="89"/>
        <v>-325</v>
      </c>
      <c r="H134" s="179">
        <f t="shared" si="89"/>
        <v>58682</v>
      </c>
      <c r="I134" s="179">
        <f t="shared" si="89"/>
        <v>10820</v>
      </c>
      <c r="J134" s="179">
        <f t="shared" si="89"/>
        <v>0</v>
      </c>
      <c r="K134" s="179">
        <f t="shared" si="89"/>
        <v>0</v>
      </c>
      <c r="L134" s="179">
        <f t="shared" si="89"/>
        <v>0</v>
      </c>
      <c r="M134" s="115">
        <f t="shared" si="89"/>
        <v>3960</v>
      </c>
      <c r="N134" s="115">
        <f t="shared" si="89"/>
        <v>9060</v>
      </c>
      <c r="O134" s="115">
        <f t="shared" si="89"/>
        <v>54146</v>
      </c>
    </row>
    <row r="135" spans="1:15" ht="14.4" thickTop="1" thickBot="1">
      <c r="A135" s="50" t="s">
        <v>243</v>
      </c>
      <c r="C135" s="123">
        <f>SUM(C133:C134)</f>
        <v>1093813</v>
      </c>
      <c r="D135" s="182">
        <f>SUM(D133:D134)</f>
        <v>445530</v>
      </c>
      <c r="E135" s="182">
        <f t="shared" ref="E135:I135" si="90">SUM(E133:E134)</f>
        <v>-138149</v>
      </c>
      <c r="F135" s="182">
        <f t="shared" si="90"/>
        <v>-28172</v>
      </c>
      <c r="G135" s="182">
        <f t="shared" si="90"/>
        <v>-2048</v>
      </c>
      <c r="H135" s="182">
        <f t="shared" si="90"/>
        <v>367150</v>
      </c>
      <c r="I135" s="182">
        <f t="shared" si="90"/>
        <v>67765</v>
      </c>
      <c r="J135" s="182">
        <f t="shared" ref="J135:K135" si="91">SUM(J133:J134)</f>
        <v>0</v>
      </c>
      <c r="K135" s="182">
        <f t="shared" si="91"/>
        <v>0</v>
      </c>
      <c r="L135" s="182">
        <f t="shared" ref="L135:O135" si="92">SUM(L133:L134)</f>
        <v>0</v>
      </c>
      <c r="M135" s="109">
        <f t="shared" si="92"/>
        <v>24932</v>
      </c>
      <c r="N135" s="109">
        <f t="shared" si="92"/>
        <v>57580</v>
      </c>
      <c r="O135" s="109">
        <f t="shared" si="92"/>
        <v>299225</v>
      </c>
    </row>
    <row r="136" spans="1:15" ht="14.4" thickTop="1" thickBot="1">
      <c r="B136" s="51" t="s">
        <v>310</v>
      </c>
      <c r="C136" s="123">
        <f>SUM(D136:O136)</f>
        <v>1526</v>
      </c>
      <c r="D136" s="183">
        <f t="shared" ref="D136:L136" si="93">D72*$L$181+D73*$L$190</f>
        <v>552</v>
      </c>
      <c r="E136" s="183">
        <f t="shared" si="93"/>
        <v>-206</v>
      </c>
      <c r="F136" s="183">
        <f t="shared" si="93"/>
        <v>-42</v>
      </c>
      <c r="G136" s="183">
        <f t="shared" si="93"/>
        <v>-3</v>
      </c>
      <c r="H136" s="183">
        <f t="shared" si="93"/>
        <v>549</v>
      </c>
      <c r="I136" s="183">
        <f t="shared" si="93"/>
        <v>101</v>
      </c>
      <c r="J136" s="183">
        <f t="shared" si="93"/>
        <v>0</v>
      </c>
      <c r="K136" s="183">
        <f t="shared" si="93"/>
        <v>0</v>
      </c>
      <c r="L136" s="183">
        <f t="shared" si="93"/>
        <v>0</v>
      </c>
      <c r="M136" s="183">
        <f>M72*$N$181+M73*$N$190</f>
        <v>37</v>
      </c>
      <c r="N136" s="183">
        <f>N72*$L$181+N73*$L$190</f>
        <v>87</v>
      </c>
      <c r="O136" s="183">
        <f>O72*$L$181+O73*$L$190</f>
        <v>451</v>
      </c>
    </row>
    <row r="137" spans="1:15" ht="13.8" thickTop="1">
      <c r="B137" s="50" t="s">
        <v>260</v>
      </c>
      <c r="C137" s="115">
        <f>SUM(D137:O137)</f>
        <v>85220</v>
      </c>
      <c r="D137" s="183">
        <f>D109+D124-D130-D135-D131-D136</f>
        <v>51832</v>
      </c>
      <c r="E137" s="183">
        <f t="shared" ref="E137:O137" si="94">E109+E124-E130-E135-E131-E136</f>
        <v>-15958</v>
      </c>
      <c r="F137" s="183">
        <f t="shared" si="94"/>
        <v>-3276</v>
      </c>
      <c r="G137" s="183">
        <f t="shared" si="94"/>
        <v>-242</v>
      </c>
      <c r="H137" s="183">
        <f t="shared" si="94"/>
        <v>43322</v>
      </c>
      <c r="I137" s="183">
        <f t="shared" si="94"/>
        <v>7997</v>
      </c>
      <c r="J137" s="183">
        <f t="shared" si="94"/>
        <v>0</v>
      </c>
      <c r="K137" s="183">
        <f t="shared" si="94"/>
        <v>0</v>
      </c>
      <c r="L137" s="183">
        <f t="shared" si="94"/>
        <v>0</v>
      </c>
      <c r="M137" s="183">
        <f t="shared" si="94"/>
        <v>2969</v>
      </c>
      <c r="N137" s="183">
        <f t="shared" si="94"/>
        <v>-173</v>
      </c>
      <c r="O137" s="183">
        <f t="shared" si="94"/>
        <v>-1251</v>
      </c>
    </row>
    <row r="138" spans="1:15">
      <c r="A138" s="50" t="s">
        <v>244</v>
      </c>
    </row>
    <row r="139" spans="1:15">
      <c r="A139" s="50" t="s">
        <v>241</v>
      </c>
    </row>
    <row r="140" spans="1:15">
      <c r="A140" s="50" t="s">
        <v>42</v>
      </c>
      <c r="C140" s="64">
        <f>AVERAGE(D140:O140)</f>
        <v>0.71240999999999999</v>
      </c>
      <c r="D140" s="136">
        <f>$N$155+$N$156</f>
        <v>0.77866000000000002</v>
      </c>
      <c r="E140" s="136">
        <f>$J$155+$J$156</f>
        <v>0.72224999999999995</v>
      </c>
      <c r="F140" s="60">
        <f t="shared" ref="F140:O140" si="95">E140</f>
        <v>0.72224999999999995</v>
      </c>
      <c r="G140" s="60">
        <f t="shared" si="95"/>
        <v>0.72224999999999995</v>
      </c>
      <c r="H140" s="136">
        <f>$L$155+$L$156</f>
        <v>0.70006000000000002</v>
      </c>
      <c r="I140" s="60">
        <f t="shared" si="95"/>
        <v>0.70006000000000002</v>
      </c>
      <c r="J140" s="60">
        <f t="shared" si="95"/>
        <v>0.70006000000000002</v>
      </c>
      <c r="K140" s="60">
        <f t="shared" si="95"/>
        <v>0.70006000000000002</v>
      </c>
      <c r="L140" s="60">
        <f t="shared" si="95"/>
        <v>0.70006000000000002</v>
      </c>
      <c r="M140" s="60">
        <f t="shared" si="95"/>
        <v>0.70006000000000002</v>
      </c>
      <c r="N140" s="136">
        <f>$M$155+$M$156</f>
        <v>0.70155000000000001</v>
      </c>
      <c r="O140" s="60">
        <f t="shared" si="95"/>
        <v>0.70155000000000001</v>
      </c>
    </row>
    <row r="141" spans="1:15">
      <c r="A141" s="50" t="s">
        <v>43</v>
      </c>
      <c r="C141" s="64">
        <f>AVERAGE(D141:O141)</f>
        <v>0.54527000000000003</v>
      </c>
      <c r="D141" s="136">
        <f>$N$163+$N$164</f>
        <v>0.60053000000000001</v>
      </c>
      <c r="E141" s="136">
        <f>$J$163+$J$164</f>
        <v>0.54412000000000005</v>
      </c>
      <c r="F141" s="60">
        <f t="shared" ref="F141:O143" si="96">E141</f>
        <v>0.54412000000000005</v>
      </c>
      <c r="G141" s="60">
        <f t="shared" si="96"/>
        <v>0.54412000000000005</v>
      </c>
      <c r="H141" s="136">
        <f>$L$163+$L$164</f>
        <v>0.53874999999999995</v>
      </c>
      <c r="I141" s="60">
        <f t="shared" si="96"/>
        <v>0.53874999999999995</v>
      </c>
      <c r="J141" s="60">
        <f t="shared" si="96"/>
        <v>0.53874999999999995</v>
      </c>
      <c r="K141" s="60">
        <f t="shared" si="96"/>
        <v>0.53874999999999995</v>
      </c>
      <c r="L141" s="60">
        <f t="shared" si="96"/>
        <v>0.53874999999999995</v>
      </c>
      <c r="M141" s="60">
        <f t="shared" si="96"/>
        <v>0.53874999999999995</v>
      </c>
      <c r="N141" s="136">
        <f>$M$163+$M$164</f>
        <v>0.53895000000000004</v>
      </c>
      <c r="O141" s="60">
        <f t="shared" si="96"/>
        <v>0.53895000000000004</v>
      </c>
    </row>
    <row r="142" spans="1:15">
      <c r="A142" s="50" t="s">
        <v>44</v>
      </c>
      <c r="C142" s="64">
        <f>AVERAGE(D142:O142)</f>
        <v>0.45301999999999998</v>
      </c>
      <c r="D142" s="136">
        <f>$N$173+$N$174</f>
        <v>0.50831999999999999</v>
      </c>
      <c r="E142" s="136">
        <f>$J$173+$J$174</f>
        <v>0.45190999999999998</v>
      </c>
      <c r="F142" s="60">
        <f t="shared" si="96"/>
        <v>0.45190999999999998</v>
      </c>
      <c r="G142" s="60">
        <f t="shared" si="96"/>
        <v>0.45190999999999998</v>
      </c>
      <c r="H142" s="136">
        <f>$L$173+$L$174</f>
        <v>0.44800000000000001</v>
      </c>
      <c r="I142" s="60">
        <f t="shared" si="96"/>
        <v>0.44800000000000001</v>
      </c>
      <c r="J142" s="60">
        <f t="shared" si="96"/>
        <v>0.44800000000000001</v>
      </c>
      <c r="K142" s="60">
        <f t="shared" si="96"/>
        <v>0.44800000000000001</v>
      </c>
      <c r="L142" s="60">
        <f t="shared" si="96"/>
        <v>0.44800000000000001</v>
      </c>
      <c r="M142" s="60">
        <f t="shared" si="96"/>
        <v>0.44800000000000001</v>
      </c>
      <c r="N142" s="136">
        <f>$M$173+$M$174</f>
        <v>0.44211</v>
      </c>
      <c r="O142" s="60">
        <f t="shared" si="96"/>
        <v>0.44211</v>
      </c>
    </row>
    <row r="143" spans="1:15">
      <c r="A143" s="50" t="s">
        <v>45</v>
      </c>
      <c r="C143" s="64">
        <f>AVERAGE(D143:O143)</f>
        <v>0.73046999999999995</v>
      </c>
      <c r="D143" s="70">
        <f>$J$178+$J$179</f>
        <v>0.80811999999999995</v>
      </c>
      <c r="E143" s="70">
        <f>$K$178+$K$179</f>
        <v>0.75292000000000003</v>
      </c>
      <c r="F143" s="60">
        <f t="shared" si="96"/>
        <v>0.75292000000000003</v>
      </c>
      <c r="G143" s="60">
        <f t="shared" si="96"/>
        <v>0.75292000000000003</v>
      </c>
      <c r="H143" s="60">
        <f t="shared" si="96"/>
        <v>0.75292000000000003</v>
      </c>
      <c r="I143" s="70">
        <f>$L$178+$L$179</f>
        <v>0.71743999999999997</v>
      </c>
      <c r="J143" s="60">
        <f t="shared" si="96"/>
        <v>0.71743999999999997</v>
      </c>
      <c r="K143" s="60">
        <f t="shared" si="96"/>
        <v>0.71743999999999997</v>
      </c>
      <c r="L143" s="60">
        <f t="shared" si="96"/>
        <v>0.71743999999999997</v>
      </c>
      <c r="M143" s="60">
        <f t="shared" si="96"/>
        <v>0.71743999999999997</v>
      </c>
      <c r="N143" s="70">
        <f>$M$178+$M$179</f>
        <v>0.67932000000000003</v>
      </c>
      <c r="O143" s="60">
        <f t="shared" si="96"/>
        <v>0.67932000000000003</v>
      </c>
    </row>
    <row r="144" spans="1:15">
      <c r="A144" s="50" t="s">
        <v>46</v>
      </c>
      <c r="C144" s="64">
        <f>AVERAGE(D144:O144)</f>
        <v>0.48603000000000002</v>
      </c>
      <c r="D144" s="59">
        <f>$J$187+$J$188</f>
        <v>0.55096999999999996</v>
      </c>
      <c r="E144" s="59">
        <f>$K$187+$K$188</f>
        <v>0.49576999999999999</v>
      </c>
      <c r="F144" s="54">
        <f t="shared" ref="F144:O144" si="97">E144</f>
        <v>0.49576999999999999</v>
      </c>
      <c r="G144" s="54">
        <f t="shared" si="97"/>
        <v>0.49576999999999999</v>
      </c>
      <c r="H144" s="54">
        <f t="shared" si="97"/>
        <v>0.49576999999999999</v>
      </c>
      <c r="I144" s="59">
        <f>$L$187+$L$188</f>
        <v>0.47722999999999999</v>
      </c>
      <c r="J144" s="54">
        <f t="shared" si="97"/>
        <v>0.47722999999999999</v>
      </c>
      <c r="K144" s="54">
        <f t="shared" si="97"/>
        <v>0.47722999999999999</v>
      </c>
      <c r="L144" s="54">
        <f t="shared" si="97"/>
        <v>0.47722999999999999</v>
      </c>
      <c r="M144" s="54">
        <f t="shared" si="97"/>
        <v>0.47722999999999999</v>
      </c>
      <c r="N144" s="59">
        <f>$M$187+$M$188</f>
        <v>0.45605000000000001</v>
      </c>
      <c r="O144" s="54">
        <f t="shared" si="97"/>
        <v>0.45605000000000001</v>
      </c>
    </row>
    <row r="145" spans="1:15">
      <c r="A145" s="50" t="s">
        <v>47</v>
      </c>
      <c r="M145" s="54"/>
      <c r="N145" s="54"/>
      <c r="O145" s="54"/>
    </row>
    <row r="146" spans="1:15">
      <c r="A146" s="50" t="s">
        <v>42</v>
      </c>
      <c r="C146" s="64">
        <f>AVERAGE(D146:O146)</f>
        <v>0.27649000000000001</v>
      </c>
      <c r="D146" s="70">
        <f>$N$157</f>
        <v>0.32561000000000001</v>
      </c>
      <c r="E146" s="70">
        <f>$J$157</f>
        <v>0.27179999999999999</v>
      </c>
      <c r="F146" s="60">
        <f t="shared" ref="F146:O146" si="98">E146</f>
        <v>0.27179999999999999</v>
      </c>
      <c r="G146" s="60">
        <f t="shared" si="98"/>
        <v>0.27179999999999999</v>
      </c>
      <c r="H146" s="70">
        <f>$L$157</f>
        <v>0.27179999999999999</v>
      </c>
      <c r="I146" s="60">
        <f t="shared" si="98"/>
        <v>0.27179999999999999</v>
      </c>
      <c r="J146" s="60">
        <f t="shared" si="98"/>
        <v>0.27179999999999999</v>
      </c>
      <c r="K146" s="60">
        <f t="shared" si="98"/>
        <v>0.27179999999999999</v>
      </c>
      <c r="L146" s="60">
        <f t="shared" si="98"/>
        <v>0.27179999999999999</v>
      </c>
      <c r="M146" s="60">
        <f t="shared" si="98"/>
        <v>0.27179999999999999</v>
      </c>
      <c r="N146" s="70">
        <f>$M$157</f>
        <v>0.27306000000000002</v>
      </c>
      <c r="O146" s="60">
        <f t="shared" si="98"/>
        <v>0.27306000000000002</v>
      </c>
    </row>
    <row r="147" spans="1:15">
      <c r="A147" s="50" t="s">
        <v>43</v>
      </c>
      <c r="C147" s="64">
        <f>AVERAGE(D147:O147)</f>
        <v>0.26750000000000002</v>
      </c>
      <c r="D147" s="70">
        <f>$N$165</f>
        <v>0.31681999999999999</v>
      </c>
      <c r="E147" s="70">
        <f>$J$165</f>
        <v>0.26301000000000002</v>
      </c>
      <c r="F147" s="60">
        <f t="shared" ref="F147:O147" si="99">E147</f>
        <v>0.26301000000000002</v>
      </c>
      <c r="G147" s="60">
        <f t="shared" si="99"/>
        <v>0.26301000000000002</v>
      </c>
      <c r="H147" s="70">
        <f>$L$165</f>
        <v>0.26301000000000002</v>
      </c>
      <c r="I147" s="60">
        <f t="shared" si="99"/>
        <v>0.26301000000000002</v>
      </c>
      <c r="J147" s="60">
        <f t="shared" si="99"/>
        <v>0.26301000000000002</v>
      </c>
      <c r="K147" s="60">
        <f t="shared" si="99"/>
        <v>0.26301000000000002</v>
      </c>
      <c r="L147" s="60">
        <f t="shared" si="99"/>
        <v>0.26301000000000002</v>
      </c>
      <c r="M147" s="60">
        <f t="shared" si="99"/>
        <v>0.26301000000000002</v>
      </c>
      <c r="N147" s="70">
        <f>$M$165</f>
        <v>0.26302999999999999</v>
      </c>
      <c r="O147" s="60">
        <f t="shared" si="99"/>
        <v>0.26302999999999999</v>
      </c>
    </row>
    <row r="148" spans="1:15">
      <c r="A148" s="50" t="s">
        <v>44</v>
      </c>
      <c r="C148" s="64">
        <f>AVERAGE(D148:O148)</f>
        <v>0.27221000000000001</v>
      </c>
      <c r="D148" s="70">
        <f>$N$175</f>
        <v>0.32250000000000001</v>
      </c>
      <c r="E148" s="70">
        <f>$J$175</f>
        <v>0.26868999999999998</v>
      </c>
      <c r="F148" s="60">
        <f t="shared" ref="F148:O148" si="100">E148</f>
        <v>0.26868999999999998</v>
      </c>
      <c r="G148" s="60">
        <f t="shared" si="100"/>
        <v>0.26868999999999998</v>
      </c>
      <c r="H148" s="70">
        <f>$L$175</f>
        <v>0.26868999999999998</v>
      </c>
      <c r="I148" s="60">
        <f t="shared" si="100"/>
        <v>0.26868999999999998</v>
      </c>
      <c r="J148" s="60">
        <f t="shared" si="100"/>
        <v>0.26868999999999998</v>
      </c>
      <c r="K148" s="60">
        <f t="shared" si="100"/>
        <v>0.26868999999999998</v>
      </c>
      <c r="L148" s="60">
        <f t="shared" si="100"/>
        <v>0.26868999999999998</v>
      </c>
      <c r="M148" s="60">
        <f t="shared" si="100"/>
        <v>0.26868999999999998</v>
      </c>
      <c r="N148" s="70">
        <f>$M$175</f>
        <v>0.26291999999999999</v>
      </c>
      <c r="O148" s="60">
        <f t="shared" si="100"/>
        <v>0.26291999999999999</v>
      </c>
    </row>
    <row r="149" spans="1:15">
      <c r="D149" s="71"/>
      <c r="M149" s="54"/>
      <c r="N149" s="71"/>
      <c r="O149" s="54"/>
    </row>
    <row r="150" spans="1:15">
      <c r="A150" s="50" t="s">
        <v>45</v>
      </c>
      <c r="C150" s="64">
        <f>AVERAGE(D150:O150)</f>
        <v>0.27187</v>
      </c>
      <c r="D150" s="59">
        <f>$J$180</f>
        <v>0.32262000000000002</v>
      </c>
      <c r="E150" s="59">
        <f>$K$180</f>
        <v>0.26773000000000002</v>
      </c>
      <c r="F150" s="54">
        <f t="shared" ref="F150:O151" si="101">E150</f>
        <v>0.26773000000000002</v>
      </c>
      <c r="G150" s="54">
        <f t="shared" si="101"/>
        <v>0.26773000000000002</v>
      </c>
      <c r="H150" s="54">
        <f t="shared" si="101"/>
        <v>0.26773000000000002</v>
      </c>
      <c r="I150" s="59">
        <f>$L$180</f>
        <v>0.26773000000000002</v>
      </c>
      <c r="J150" s="54">
        <f t="shared" si="101"/>
        <v>0.26773000000000002</v>
      </c>
      <c r="K150" s="54">
        <f t="shared" si="101"/>
        <v>0.26773000000000002</v>
      </c>
      <c r="L150" s="54">
        <f t="shared" si="101"/>
        <v>0.26773000000000002</v>
      </c>
      <c r="M150" s="54">
        <f t="shared" si="101"/>
        <v>0.26773000000000002</v>
      </c>
      <c r="N150" s="59">
        <f>$M$180</f>
        <v>0.2651</v>
      </c>
      <c r="O150" s="60">
        <f t="shared" si="101"/>
        <v>0.2651</v>
      </c>
    </row>
    <row r="151" spans="1:15">
      <c r="A151" s="50" t="s">
        <v>46</v>
      </c>
      <c r="C151" s="64">
        <f>AVERAGE(D151:O151)</f>
        <v>0.27187</v>
      </c>
      <c r="D151" s="59">
        <f>$J$189</f>
        <v>0.32262000000000002</v>
      </c>
      <c r="E151" s="59">
        <f>$K$189</f>
        <v>0.26773000000000002</v>
      </c>
      <c r="F151" s="54">
        <f t="shared" si="101"/>
        <v>0.26773000000000002</v>
      </c>
      <c r="G151" s="54">
        <f t="shared" si="101"/>
        <v>0.26773000000000002</v>
      </c>
      <c r="H151" s="54">
        <f t="shared" si="101"/>
        <v>0.26773000000000002</v>
      </c>
      <c r="I151" s="59">
        <f>$L$189</f>
        <v>0.26773000000000002</v>
      </c>
      <c r="J151" s="54">
        <f t="shared" si="101"/>
        <v>0.26773000000000002</v>
      </c>
      <c r="K151" s="54">
        <f t="shared" si="101"/>
        <v>0.26773000000000002</v>
      </c>
      <c r="L151" s="54">
        <f t="shared" si="101"/>
        <v>0.26773000000000002</v>
      </c>
      <c r="M151" s="54">
        <f t="shared" si="101"/>
        <v>0.26773000000000002</v>
      </c>
      <c r="N151" s="59">
        <f>$M$189</f>
        <v>0.2651</v>
      </c>
      <c r="O151" s="60">
        <f t="shared" si="101"/>
        <v>0.2651</v>
      </c>
    </row>
    <row r="152" spans="1:15" ht="19.8" customHeight="1">
      <c r="A152" s="50" t="s">
        <v>265</v>
      </c>
      <c r="B152" s="71"/>
      <c r="C152" s="202" t="s">
        <v>359</v>
      </c>
      <c r="E152" s="99" t="s">
        <v>246</v>
      </c>
      <c r="F152" s="99" t="s">
        <v>247</v>
      </c>
      <c r="G152" s="99" t="s">
        <v>248</v>
      </c>
      <c r="H152" s="54" t="s">
        <v>247</v>
      </c>
      <c r="J152" s="206">
        <v>41664</v>
      </c>
      <c r="K152" s="191"/>
      <c r="L152" s="206">
        <v>41759</v>
      </c>
      <c r="M152" s="206">
        <v>41943</v>
      </c>
      <c r="N152" s="207">
        <v>41578</v>
      </c>
    </row>
    <row r="153" spans="1:15">
      <c r="B153" s="50" t="s">
        <v>249</v>
      </c>
      <c r="C153" s="146">
        <v>70235875</v>
      </c>
      <c r="E153" s="145">
        <f>IF(C153&gt;E156,E156,C153)</f>
        <v>24017006</v>
      </c>
      <c r="F153" s="184">
        <f>E153/$E$155</f>
        <v>1</v>
      </c>
      <c r="G153" s="176">
        <f>C153-E153</f>
        <v>46218869</v>
      </c>
      <c r="H153" s="184">
        <f>G153/$G$155</f>
        <v>0.56430000000000002</v>
      </c>
      <c r="J153" s="70">
        <v>0.38685000000000003</v>
      </c>
      <c r="L153" s="136">
        <v>0.36723</v>
      </c>
      <c r="M153" s="136">
        <v>0.36723</v>
      </c>
      <c r="N153" s="138">
        <v>0.38685000000000003</v>
      </c>
    </row>
    <row r="154" spans="1:15">
      <c r="B154" s="50" t="s">
        <v>250</v>
      </c>
      <c r="C154" s="146">
        <v>35679397</v>
      </c>
      <c r="F154" s="184">
        <f t="shared" ref="F154:F156" si="102">E154/$E$155</f>
        <v>0</v>
      </c>
      <c r="G154" s="176">
        <f>C154-E154</f>
        <v>35679397</v>
      </c>
      <c r="H154" s="184">
        <f t="shared" ref="H154:H155" si="103">G154/$G$155</f>
        <v>0.43569999999999998</v>
      </c>
      <c r="J154" s="70">
        <v>0.50278999999999996</v>
      </c>
      <c r="L154" s="136">
        <v>0.47728999999999999</v>
      </c>
      <c r="M154" s="136">
        <v>0.47728999999999999</v>
      </c>
      <c r="N154" s="138">
        <v>0.50278999999999996</v>
      </c>
    </row>
    <row r="155" spans="1:15">
      <c r="C155" s="56">
        <f>SUM(C153:C154)</f>
        <v>105915272</v>
      </c>
      <c r="E155" s="98">
        <f>SUM(E153:E154)</f>
        <v>24017006</v>
      </c>
      <c r="F155" s="184">
        <f t="shared" si="102"/>
        <v>1</v>
      </c>
      <c r="G155" s="98">
        <f>SUM(G153:G154)</f>
        <v>81898266</v>
      </c>
      <c r="H155" s="184">
        <f t="shared" si="103"/>
        <v>1</v>
      </c>
      <c r="J155" s="185">
        <f>ROUND(+J153*$H153+J154*$H154,5)</f>
        <v>0.43736999999999998</v>
      </c>
      <c r="L155" s="185">
        <f>ROUND(+L153*$H153+L154*$H154,5)</f>
        <v>0.41517999999999999</v>
      </c>
      <c r="M155" s="185">
        <f>ROUND(+M153*$H153+M154*$H154,5)</f>
        <v>0.41517999999999999</v>
      </c>
      <c r="N155" s="65">
        <f>ROUND(+N153*$H153+N154*$H154,5)</f>
        <v>0.43736999999999998</v>
      </c>
    </row>
    <row r="156" spans="1:15">
      <c r="C156" s="146">
        <v>1847462</v>
      </c>
      <c r="D156" s="146">
        <v>13</v>
      </c>
      <c r="E156" s="145">
        <f>C156*D156</f>
        <v>24017006</v>
      </c>
      <c r="F156" s="184">
        <f t="shared" si="102"/>
        <v>1</v>
      </c>
      <c r="I156" s="99" t="s">
        <v>268</v>
      </c>
      <c r="J156" s="136">
        <v>0.28488000000000002</v>
      </c>
      <c r="K156" s="99"/>
      <c r="L156" s="136">
        <v>0.28488000000000002</v>
      </c>
      <c r="M156" s="190">
        <v>0.28637000000000001</v>
      </c>
      <c r="N156" s="137">
        <v>0.34128999999999998</v>
      </c>
    </row>
    <row r="157" spans="1:15">
      <c r="I157" s="99" t="s">
        <v>272</v>
      </c>
      <c r="J157" s="136">
        <v>0.27179999999999999</v>
      </c>
      <c r="K157" s="200"/>
      <c r="L157" s="136">
        <v>0.27179999999999999</v>
      </c>
      <c r="M157" s="190">
        <v>0.27306000000000002</v>
      </c>
      <c r="N157" s="137">
        <v>0.32561000000000001</v>
      </c>
    </row>
    <row r="158" spans="1:15">
      <c r="I158" s="99" t="s">
        <v>311</v>
      </c>
      <c r="J158" s="136">
        <v>4.6999999999999999E-4</v>
      </c>
      <c r="K158" s="200"/>
      <c r="L158" s="190">
        <v>4.6999999999999999E-4</v>
      </c>
      <c r="M158" s="190">
        <v>4.6999999999999999E-4</v>
      </c>
      <c r="N158" s="137">
        <v>4.6999999999999999E-4</v>
      </c>
    </row>
    <row r="159" spans="1:15">
      <c r="A159" s="50" t="s">
        <v>245</v>
      </c>
      <c r="B159" s="71"/>
      <c r="C159" s="198"/>
      <c r="E159" s="99"/>
      <c r="F159" s="99"/>
      <c r="G159" s="99"/>
      <c r="J159" s="186"/>
      <c r="L159" s="186"/>
      <c r="M159" s="186"/>
      <c r="N159" s="63"/>
    </row>
    <row r="160" spans="1:15">
      <c r="B160" s="50" t="s">
        <v>249</v>
      </c>
      <c r="C160" s="146">
        <v>5785416</v>
      </c>
      <c r="E160" s="176">
        <f>C160</f>
        <v>5785416</v>
      </c>
      <c r="F160" s="184">
        <f>E160/E$163</f>
        <v>0.3367</v>
      </c>
      <c r="G160" s="176">
        <f>C160-E160</f>
        <v>0</v>
      </c>
      <c r="H160" s="184">
        <f>G160/G$163</f>
        <v>0</v>
      </c>
      <c r="J160" s="70">
        <v>0.50719999999999998</v>
      </c>
      <c r="L160" s="70">
        <v>0.48625000000000002</v>
      </c>
      <c r="M160" s="70">
        <v>0.48625000000000002</v>
      </c>
      <c r="N160" s="74">
        <v>0.50719999999999998</v>
      </c>
    </row>
    <row r="161" spans="1:15">
      <c r="B161" s="50" t="s">
        <v>250</v>
      </c>
      <c r="C161" s="146">
        <v>14299409</v>
      </c>
      <c r="E161" s="176">
        <f>E164-E160</f>
        <v>11398727</v>
      </c>
      <c r="F161" s="184">
        <f t="shared" ref="F161:F162" si="104">E161/E$163</f>
        <v>0.6633</v>
      </c>
      <c r="G161" s="176">
        <f>C161-E161</f>
        <v>2900682</v>
      </c>
      <c r="H161" s="184">
        <f t="shared" ref="H161:H162" si="105">G161/G$163</f>
        <v>0.1113</v>
      </c>
      <c r="J161" s="173">
        <v>0.34033999999999998</v>
      </c>
      <c r="L161" s="173">
        <v>0.33354</v>
      </c>
      <c r="M161" s="173">
        <v>0.33354</v>
      </c>
      <c r="N161" s="73">
        <v>0.34033999999999998</v>
      </c>
    </row>
    <row r="162" spans="1:15">
      <c r="B162" s="50" t="s">
        <v>251</v>
      </c>
      <c r="C162" s="146">
        <v>23171235</v>
      </c>
      <c r="E162" s="54">
        <v>0</v>
      </c>
      <c r="F162" s="184">
        <f t="shared" si="104"/>
        <v>0</v>
      </c>
      <c r="G162" s="176">
        <f>C162</f>
        <v>23171235</v>
      </c>
      <c r="H162" s="184">
        <f t="shared" si="105"/>
        <v>0.88870000000000005</v>
      </c>
      <c r="J162" s="173">
        <v>0.25942999999999999</v>
      </c>
      <c r="L162" s="173">
        <v>0.25424000000000002</v>
      </c>
      <c r="M162" s="173">
        <v>0.25424000000000002</v>
      </c>
      <c r="N162" s="73">
        <v>0.25942999999999999</v>
      </c>
    </row>
    <row r="163" spans="1:15">
      <c r="C163" s="97">
        <f>SUM(C160:C162)</f>
        <v>43256060</v>
      </c>
      <c r="E163" s="98">
        <f>SUM(E160:E162)</f>
        <v>17184143</v>
      </c>
      <c r="F163" s="184">
        <f>SUM(F160:F162)</f>
        <v>1</v>
      </c>
      <c r="G163" s="98">
        <f>SUM(G160:G162)</f>
        <v>26071917</v>
      </c>
      <c r="H163" s="184">
        <f>SUM(H160:H162)</f>
        <v>1</v>
      </c>
      <c r="J163" s="185">
        <f>ROUND(J160*$H160+J161*$H161+J162*$H162,5)</f>
        <v>0.26844000000000001</v>
      </c>
      <c r="L163" s="185">
        <f>ROUND(L160*$H160+L161*$H161+L162*$H162,5)</f>
        <v>0.26307000000000003</v>
      </c>
      <c r="M163" s="185">
        <f>ROUND(M160*$H160+M161*$H161+M162*$H162,5)</f>
        <v>0.26307000000000003</v>
      </c>
      <c r="N163" s="65">
        <f>ROUND(N160*$H160+N161*$H161+N162*$H162,5)</f>
        <v>0.26844000000000001</v>
      </c>
    </row>
    <row r="164" spans="1:15">
      <c r="C164" s="146">
        <v>32983</v>
      </c>
      <c r="D164" s="146">
        <v>521</v>
      </c>
      <c r="E164" s="145">
        <f>C164*D164</f>
        <v>17184143</v>
      </c>
      <c r="I164" s="99" t="s">
        <v>268</v>
      </c>
      <c r="J164" s="136">
        <v>0.27567999999999998</v>
      </c>
      <c r="L164" s="136">
        <v>0.27567999999999998</v>
      </c>
      <c r="M164" s="190">
        <v>0.27588000000000001</v>
      </c>
      <c r="N164" s="137">
        <v>0.33209</v>
      </c>
    </row>
    <row r="165" spans="1:15">
      <c r="C165" s="146"/>
      <c r="D165" s="146"/>
      <c r="E165" s="145"/>
      <c r="I165" s="99" t="s">
        <v>272</v>
      </c>
      <c r="J165" s="136">
        <v>0.26301000000000002</v>
      </c>
      <c r="K165" s="190"/>
      <c r="L165" s="136">
        <v>0.26301000000000002</v>
      </c>
      <c r="M165" s="190">
        <v>0.26302999999999999</v>
      </c>
      <c r="N165" s="137">
        <v>0.31681999999999999</v>
      </c>
    </row>
    <row r="166" spans="1:15">
      <c r="C166" s="146"/>
      <c r="D166" s="146"/>
      <c r="E166" s="145"/>
      <c r="I166" s="99" t="s">
        <v>311</v>
      </c>
      <c r="J166" s="136">
        <v>3.8000000000000002E-4</v>
      </c>
      <c r="K166" s="190"/>
      <c r="L166" s="190">
        <v>3.8000000000000002E-4</v>
      </c>
      <c r="M166" s="190">
        <v>3.8000000000000002E-4</v>
      </c>
      <c r="N166" s="137">
        <v>3.8000000000000002E-4</v>
      </c>
    </row>
    <row r="167" spans="1:15">
      <c r="A167" s="50" t="s">
        <v>252</v>
      </c>
      <c r="B167" s="54"/>
      <c r="C167" s="198"/>
      <c r="E167" s="99"/>
      <c r="F167" s="99"/>
      <c r="G167" s="99"/>
      <c r="J167" s="186"/>
      <c r="L167" s="186"/>
      <c r="M167" s="186"/>
      <c r="N167" s="63"/>
    </row>
    <row r="168" spans="1:15">
      <c r="B168" s="50" t="s">
        <v>249</v>
      </c>
      <c r="C168" s="146">
        <v>135553</v>
      </c>
      <c r="E168" s="176">
        <f>C168</f>
        <v>135553</v>
      </c>
      <c r="F168" s="184">
        <f>E168/E$173</f>
        <v>4.3900000000000002E-2</v>
      </c>
      <c r="G168" s="176">
        <f>C168-E168</f>
        <v>0</v>
      </c>
      <c r="H168" s="184">
        <f>G168/G$173</f>
        <v>0</v>
      </c>
      <c r="J168" s="173">
        <v>0.50456000000000001</v>
      </c>
      <c r="L168" s="173">
        <v>0.48087999999999997</v>
      </c>
      <c r="M168" s="173">
        <v>0.48087999999999997</v>
      </c>
      <c r="N168" s="73">
        <v>0.50456000000000001</v>
      </c>
    </row>
    <row r="169" spans="1:15">
      <c r="B169" s="50" t="s">
        <v>250</v>
      </c>
      <c r="C169" s="146">
        <v>135553</v>
      </c>
      <c r="E169" s="176">
        <f>C169</f>
        <v>135553</v>
      </c>
      <c r="F169" s="184">
        <f t="shared" ref="F169:F172" si="106">E169/E$173</f>
        <v>4.3900000000000002E-2</v>
      </c>
      <c r="G169" s="176">
        <f>C169-E169</f>
        <v>0</v>
      </c>
      <c r="H169" s="184">
        <f t="shared" ref="H169:H172" si="107">G169/G$173</f>
        <v>0</v>
      </c>
      <c r="J169" s="173">
        <v>0.35670000000000002</v>
      </c>
      <c r="L169" s="70">
        <v>0.34849999999999998</v>
      </c>
      <c r="M169" s="70">
        <v>0.34849999999999998</v>
      </c>
      <c r="N169" s="74">
        <v>0.35670000000000002</v>
      </c>
    </row>
    <row r="170" spans="1:15">
      <c r="A170" s="75"/>
      <c r="B170" s="75" t="s">
        <v>251</v>
      </c>
      <c r="C170" s="220">
        <v>2127460</v>
      </c>
      <c r="D170" s="187"/>
      <c r="E170" s="176">
        <f>C170</f>
        <v>2127460</v>
      </c>
      <c r="F170" s="184">
        <f t="shared" si="106"/>
        <v>0.68840000000000001</v>
      </c>
      <c r="G170" s="176">
        <f>C170-E170</f>
        <v>0</v>
      </c>
      <c r="H170" s="184">
        <f t="shared" si="107"/>
        <v>0</v>
      </c>
      <c r="I170" s="187"/>
      <c r="J170" s="173">
        <v>0.27396999999999999</v>
      </c>
      <c r="K170" s="187"/>
      <c r="L170" s="173">
        <v>0.26767000000000002</v>
      </c>
      <c r="M170" s="173">
        <v>0.26767000000000002</v>
      </c>
      <c r="N170" s="73">
        <v>0.27396999999999999</v>
      </c>
      <c r="O170" s="75"/>
    </row>
    <row r="171" spans="1:15">
      <c r="A171" s="75"/>
      <c r="B171" s="75" t="s">
        <v>253</v>
      </c>
      <c r="C171" s="221">
        <v>953143</v>
      </c>
      <c r="D171" s="188"/>
      <c r="E171" s="176">
        <f>E174-SUM(E168:E170)</f>
        <v>692067</v>
      </c>
      <c r="F171" s="184">
        <f t="shared" si="106"/>
        <v>0.22389999999999999</v>
      </c>
      <c r="G171" s="176">
        <f>C171-E171</f>
        <v>261076</v>
      </c>
      <c r="H171" s="184">
        <f t="shared" si="107"/>
        <v>0.308</v>
      </c>
      <c r="I171" s="187"/>
      <c r="J171" s="173">
        <v>0.22202</v>
      </c>
      <c r="K171" s="187"/>
      <c r="L171" s="173">
        <v>0.21692</v>
      </c>
      <c r="M171" s="173">
        <v>0.21692</v>
      </c>
      <c r="N171" s="73">
        <v>0.22202</v>
      </c>
      <c r="O171" s="75"/>
    </row>
    <row r="172" spans="1:15">
      <c r="A172" s="75"/>
      <c r="B172" s="75" t="s">
        <v>254</v>
      </c>
      <c r="C172" s="221">
        <v>586572</v>
      </c>
      <c r="D172" s="187"/>
      <c r="E172" s="176">
        <f>E174-SUM(E168:E171)</f>
        <v>0</v>
      </c>
      <c r="F172" s="184">
        <f t="shared" si="106"/>
        <v>0</v>
      </c>
      <c r="G172" s="176">
        <f>C172-E172</f>
        <v>586572</v>
      </c>
      <c r="H172" s="184">
        <f t="shared" si="107"/>
        <v>0.69199999999999995</v>
      </c>
      <c r="I172" s="187"/>
      <c r="J172" s="70">
        <v>0.14724999999999999</v>
      </c>
      <c r="K172" s="187"/>
      <c r="L172" s="173">
        <v>0.14387</v>
      </c>
      <c r="M172" s="173">
        <v>0.14387</v>
      </c>
      <c r="N172" s="73">
        <v>0.14724999999999999</v>
      </c>
      <c r="O172" s="75"/>
    </row>
    <row r="173" spans="1:15">
      <c r="C173" s="98">
        <f>SUM(C168:C172)</f>
        <v>3938281</v>
      </c>
      <c r="E173" s="98">
        <f>SUM(E168:E172)</f>
        <v>3090633</v>
      </c>
      <c r="F173" s="184">
        <f>SUM(F168:F172)</f>
        <v>1.0001</v>
      </c>
      <c r="G173" s="98">
        <f>SUM(G168:G172)</f>
        <v>847648</v>
      </c>
      <c r="H173" s="184">
        <f>SUM(H168:H172)</f>
        <v>1</v>
      </c>
      <c r="J173" s="189">
        <f>ROUND(J168*$H168+J169*$H169+J170*$H170+J171*$H171+J172*$H172,5)</f>
        <v>0.17027999999999999</v>
      </c>
      <c r="L173" s="189">
        <f>ROUND(L168*$H168+L169*$H169+L170*$H170+L171*$H171+L172*$H172,5)</f>
        <v>0.16636999999999999</v>
      </c>
      <c r="M173" s="189">
        <f>ROUND(M168*$H168+M169*$H169+M170*$H170+M171*$H171+M172*$H172,5)</f>
        <v>0.16636999999999999</v>
      </c>
      <c r="N173" s="66">
        <f>ROUND(N168*$H168+N169*$H169+N170*$H170+N171*$H171+N172*$H172,5)</f>
        <v>0.17027999999999999</v>
      </c>
    </row>
    <row r="174" spans="1:15">
      <c r="C174" s="146">
        <v>273</v>
      </c>
      <c r="D174" s="222">
        <v>11321</v>
      </c>
      <c r="E174" s="145">
        <f>C174*D174</f>
        <v>3090633</v>
      </c>
      <c r="I174" s="99" t="s">
        <v>268</v>
      </c>
      <c r="J174" s="136">
        <v>0.28162999999999999</v>
      </c>
      <c r="L174" s="136">
        <v>0.28162999999999999</v>
      </c>
      <c r="M174" s="190">
        <v>0.27573999999999999</v>
      </c>
      <c r="N174" s="137">
        <v>0.33804000000000001</v>
      </c>
    </row>
    <row r="175" spans="1:15">
      <c r="C175" s="96"/>
      <c r="D175" s="176"/>
      <c r="E175" s="145"/>
      <c r="I175" s="99" t="s">
        <v>272</v>
      </c>
      <c r="J175" s="136">
        <v>0.26868999999999998</v>
      </c>
      <c r="L175" s="136">
        <v>0.26868999999999998</v>
      </c>
      <c r="M175" s="190">
        <v>0.26291999999999999</v>
      </c>
      <c r="N175" s="138">
        <v>0.32250000000000001</v>
      </c>
    </row>
    <row r="176" spans="1:15">
      <c r="C176" s="145"/>
      <c r="D176" s="176"/>
      <c r="E176" s="145"/>
      <c r="I176" s="99" t="s">
        <v>311</v>
      </c>
      <c r="J176" s="136">
        <v>3.1E-4</v>
      </c>
      <c r="L176" s="136">
        <v>3.1E-4</v>
      </c>
      <c r="M176" s="136">
        <v>3.1E-4</v>
      </c>
      <c r="N176" s="136">
        <v>3.1E-4</v>
      </c>
    </row>
    <row r="177" spans="1:14" ht="14.4" customHeight="1">
      <c r="A177" s="50" t="s">
        <v>267</v>
      </c>
      <c r="C177" s="96"/>
      <c r="D177" s="176"/>
      <c r="E177" s="145"/>
      <c r="J177" s="204">
        <v>41639</v>
      </c>
      <c r="K177" s="204">
        <v>41664</v>
      </c>
      <c r="L177" s="204">
        <v>41790</v>
      </c>
      <c r="M177" s="205">
        <v>41943</v>
      </c>
      <c r="N177" s="204">
        <v>41578</v>
      </c>
    </row>
    <row r="178" spans="1:14">
      <c r="B178" s="50" t="s">
        <v>249</v>
      </c>
      <c r="C178" s="139" t="s">
        <v>269</v>
      </c>
      <c r="D178" s="176"/>
      <c r="E178" s="145"/>
      <c r="J178" s="190">
        <v>0.48363</v>
      </c>
      <c r="K178" s="190">
        <v>0.48363</v>
      </c>
      <c r="L178" s="190">
        <f>K178-0.03548</f>
        <v>0.44814999999999999</v>
      </c>
      <c r="M178" s="190">
        <f>L178-0.03548</f>
        <v>0.41266999999999998</v>
      </c>
      <c r="N178" s="137">
        <v>0.47746</v>
      </c>
    </row>
    <row r="179" spans="1:14">
      <c r="C179" s="96"/>
      <c r="D179" s="176"/>
      <c r="E179" s="145"/>
      <c r="I179" s="99" t="s">
        <v>268</v>
      </c>
      <c r="J179" s="137">
        <v>0.32449</v>
      </c>
      <c r="K179" s="190">
        <v>0.26928999999999997</v>
      </c>
      <c r="L179" s="190">
        <v>0.26928999999999997</v>
      </c>
      <c r="M179" s="190">
        <v>0.26665</v>
      </c>
      <c r="N179" s="137">
        <v>0.32449</v>
      </c>
    </row>
    <row r="180" spans="1:14">
      <c r="C180" s="145"/>
      <c r="D180" s="176"/>
      <c r="E180" s="145"/>
      <c r="I180" s="99" t="s">
        <v>272</v>
      </c>
      <c r="J180" s="137">
        <v>0.32262000000000002</v>
      </c>
      <c r="K180" s="190">
        <v>0.26773000000000002</v>
      </c>
      <c r="L180" s="190">
        <v>0.26773000000000002</v>
      </c>
      <c r="M180" s="136">
        <v>0.2651</v>
      </c>
      <c r="N180" s="137">
        <v>0.32262000000000002</v>
      </c>
    </row>
    <row r="181" spans="1:14">
      <c r="C181" s="96"/>
      <c r="D181" s="176"/>
      <c r="E181" s="145"/>
      <c r="I181" s="99" t="s">
        <v>311</v>
      </c>
      <c r="J181" s="136">
        <v>4.0000000000000002E-4</v>
      </c>
      <c r="K181" s="136">
        <v>4.0000000000000002E-4</v>
      </c>
      <c r="L181" s="136">
        <v>4.0000000000000002E-4</v>
      </c>
      <c r="M181" s="136">
        <v>4.0000000000000002E-4</v>
      </c>
      <c r="N181" s="136">
        <v>4.0000000000000002E-4</v>
      </c>
    </row>
    <row r="182" spans="1:14">
      <c r="A182" s="50" t="s">
        <v>255</v>
      </c>
      <c r="C182" s="202" t="s">
        <v>359</v>
      </c>
      <c r="J182" s="186"/>
      <c r="K182" s="186"/>
      <c r="L182" s="186"/>
      <c r="M182" s="186"/>
      <c r="N182" s="186"/>
    </row>
    <row r="183" spans="1:14">
      <c r="B183" s="50" t="s">
        <v>249</v>
      </c>
      <c r="C183" s="145">
        <v>2975097</v>
      </c>
      <c r="E183" s="176">
        <f>C183</f>
        <v>2975097</v>
      </c>
      <c r="F183" s="184">
        <f>E183/E$187</f>
        <v>0.2457</v>
      </c>
      <c r="G183" s="176">
        <f>C183-E183</f>
        <v>0</v>
      </c>
      <c r="H183" s="184">
        <f>G183/G$187</f>
        <v>0</v>
      </c>
      <c r="J183" s="70">
        <v>0.51365000000000005</v>
      </c>
      <c r="K183" s="70">
        <v>0.51365000000000005</v>
      </c>
      <c r="L183" s="70">
        <f>K183-0.01854</f>
        <v>0.49510999999999999</v>
      </c>
      <c r="M183" s="70">
        <f>L183-0.01854</f>
        <v>0.47656999999999999</v>
      </c>
      <c r="N183" s="70">
        <v>0.50375000000000003</v>
      </c>
    </row>
    <row r="184" spans="1:14">
      <c r="B184" s="50" t="s">
        <v>250</v>
      </c>
      <c r="C184" s="145">
        <v>6965891</v>
      </c>
      <c r="E184" s="176">
        <f>C184</f>
        <v>6965891</v>
      </c>
      <c r="F184" s="184">
        <f t="shared" ref="F184:F186" si="108">E184/E$187</f>
        <v>0.57520000000000004</v>
      </c>
      <c r="G184" s="176">
        <f>C184-E184</f>
        <v>0</v>
      </c>
      <c r="H184" s="184">
        <f t="shared" ref="H184:H186" si="109">G184/G$187</f>
        <v>0</v>
      </c>
      <c r="J184" s="70">
        <v>0.32219999999999999</v>
      </c>
      <c r="K184" s="70">
        <v>0.32219999999999999</v>
      </c>
      <c r="L184" s="70">
        <f t="shared" ref="L184:M186" si="110">K184-0.01854</f>
        <v>0.30365999999999999</v>
      </c>
      <c r="M184" s="70">
        <f t="shared" si="110"/>
        <v>0.28511999999999998</v>
      </c>
      <c r="N184" s="70">
        <v>0.31953999999999999</v>
      </c>
    </row>
    <row r="185" spans="1:14">
      <c r="B185" s="50" t="s">
        <v>251</v>
      </c>
      <c r="C185" s="145">
        <v>8708834</v>
      </c>
      <c r="E185" s="176">
        <f>E188-E183-E184</f>
        <v>2169482</v>
      </c>
      <c r="F185" s="184">
        <f t="shared" si="108"/>
        <v>0.17910000000000001</v>
      </c>
      <c r="G185" s="176">
        <f>C185-E185</f>
        <v>6539352</v>
      </c>
      <c r="H185" s="184">
        <f t="shared" si="109"/>
        <v>0.75529999999999997</v>
      </c>
      <c r="J185" s="70">
        <v>0.23981</v>
      </c>
      <c r="K185" s="70">
        <v>0.23981</v>
      </c>
      <c r="L185" s="70">
        <f t="shared" si="110"/>
        <v>0.22126999999999999</v>
      </c>
      <c r="M185" s="70">
        <f t="shared" si="110"/>
        <v>0.20272999999999999</v>
      </c>
      <c r="N185" s="70">
        <v>0.23783000000000001</v>
      </c>
    </row>
    <row r="186" spans="1:14">
      <c r="B186" s="50" t="s">
        <v>253</v>
      </c>
      <c r="C186" s="145">
        <v>2118897</v>
      </c>
      <c r="E186" s="176"/>
      <c r="F186" s="184">
        <f t="shared" si="108"/>
        <v>0</v>
      </c>
      <c r="G186" s="176">
        <f>C186-E186</f>
        <v>2118897</v>
      </c>
      <c r="H186" s="184">
        <f t="shared" si="109"/>
        <v>0.2447</v>
      </c>
      <c r="J186" s="70">
        <v>0.18534</v>
      </c>
      <c r="K186" s="70">
        <v>0.18534</v>
      </c>
      <c r="L186" s="70">
        <f t="shared" si="110"/>
        <v>0.1668</v>
      </c>
      <c r="M186" s="70">
        <f t="shared" si="110"/>
        <v>0.14826</v>
      </c>
      <c r="N186" s="70">
        <v>0.18381</v>
      </c>
    </row>
    <row r="187" spans="1:14">
      <c r="C187" s="97">
        <f>SUM(C183:C186)</f>
        <v>20768719</v>
      </c>
      <c r="E187" s="97">
        <f>SUM(E183:E186)</f>
        <v>12110470</v>
      </c>
      <c r="F187" s="184">
        <f>SUM(F183:F186)</f>
        <v>1</v>
      </c>
      <c r="G187" s="97">
        <f>SUM(G185:G186)</f>
        <v>8658249</v>
      </c>
      <c r="H187" s="184">
        <f>SUM(H183:H186)</f>
        <v>1</v>
      </c>
      <c r="J187" s="191">
        <f>ROUND(J183*$H183+J184*$H184+J185*$H185+J186*$H186,5)</f>
        <v>0.22647999999999999</v>
      </c>
      <c r="K187" s="191">
        <f>ROUND(K183*$H183+K184*$H184+K185*$H185+K186*$H186,5)</f>
        <v>0.22647999999999999</v>
      </c>
      <c r="L187" s="189">
        <f>ROUND(L183*$H183+L184*$H184+L185*$H185+L186*$H186,5)</f>
        <v>0.20794000000000001</v>
      </c>
      <c r="M187" s="67">
        <f>ROUND(M183*$H183+M184*$H184+M185*$H185+M186*$H186,5)</f>
        <v>0.18940000000000001</v>
      </c>
      <c r="N187" s="191">
        <f>ROUND(N183*$H183+N184*$H184+N185*$H185+N186*$H186,5)</f>
        <v>0.22461</v>
      </c>
    </row>
    <row r="188" spans="1:14">
      <c r="C188" s="145">
        <v>17057</v>
      </c>
      <c r="D188" s="176">
        <v>710</v>
      </c>
      <c r="E188" s="145">
        <f>C188*D188</f>
        <v>12110470</v>
      </c>
      <c r="I188" s="99" t="s">
        <v>268</v>
      </c>
      <c r="J188" s="137">
        <v>0.32449</v>
      </c>
      <c r="K188" s="190">
        <v>0.26928999999999997</v>
      </c>
      <c r="L188" s="190">
        <v>0.26928999999999997</v>
      </c>
      <c r="M188" s="190">
        <v>0.26665</v>
      </c>
      <c r="N188" s="137">
        <v>0.32449</v>
      </c>
    </row>
    <row r="189" spans="1:14">
      <c r="I189" s="99" t="s">
        <v>272</v>
      </c>
      <c r="J189" s="137">
        <v>0.32262000000000002</v>
      </c>
      <c r="K189" s="190">
        <v>0.26773000000000002</v>
      </c>
      <c r="L189" s="190">
        <v>0.26773000000000002</v>
      </c>
      <c r="M189" s="136">
        <v>0.2651</v>
      </c>
      <c r="N189" s="137">
        <v>0.32262000000000002</v>
      </c>
    </row>
    <row r="190" spans="1:14">
      <c r="I190" s="99" t="s">
        <v>311</v>
      </c>
      <c r="J190" s="136">
        <v>4.0000000000000002E-4</v>
      </c>
      <c r="K190" s="136">
        <v>4.0000000000000002E-4</v>
      </c>
      <c r="L190" s="136">
        <v>4.0000000000000002E-4</v>
      </c>
      <c r="M190" s="136">
        <v>4.0000000000000002E-4</v>
      </c>
      <c r="N190" s="136">
        <v>4.0000000000000002E-4</v>
      </c>
    </row>
  </sheetData>
  <phoneticPr fontId="0" type="noConversion"/>
  <printOptions horizontalCentered="1"/>
  <pageMargins left="0.25" right="0.25" top="0.67" bottom="0.62" header="0.34" footer="0.33"/>
  <pageSetup scale="59" orientation="landscape" r:id="rId1"/>
  <headerFooter alignWithMargins="0">
    <oddHeader>&amp;R&amp;"Times New Roman,Regular"&amp;10Adjustment No. __&amp;U2.10&amp;U__
Workpaper Ref. G-WN-__</oddHeader>
    <oddFooter>&amp;L&amp;"Times New Roman,Regular"&amp;10&amp;F / &amp;A&amp;C&amp;"Times New Roman,Regular"&amp;10Page &amp;P of &amp;N&amp;R&amp;"Times New Roman,Regular"&amp;10Prep by:________  1st Review:________
Date: &amp;D     Mgr. Review:________</oddFooter>
  </headerFooter>
  <rowBreaks count="3" manualBreakCount="3">
    <brk id="51" max="14" man="1"/>
    <brk id="91" max="14" man="1"/>
    <brk id="137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9.6"/>
  <cols>
    <col min="1" max="16384" width="9" style="210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  <pageSetUpPr fitToPage="1"/>
  </sheetPr>
  <dimension ref="A1:H33"/>
  <sheetViews>
    <sheetView workbookViewId="0">
      <selection sqref="A1:H1"/>
    </sheetView>
  </sheetViews>
  <sheetFormatPr defaultColWidth="10" defaultRowHeight="13.2"/>
  <cols>
    <col min="1" max="1" width="7" style="77" customWidth="1"/>
    <col min="2" max="2" width="9.625" style="77" customWidth="1"/>
    <col min="3" max="3" width="3.25" style="77" customWidth="1"/>
    <col min="4" max="4" width="12.75" style="77" customWidth="1"/>
    <col min="5" max="5" width="11.75" style="77" customWidth="1"/>
    <col min="6" max="6" width="12" style="77" customWidth="1"/>
    <col min="7" max="7" width="10.75" style="81" customWidth="1"/>
    <col min="8" max="8" width="27" style="82" customWidth="1"/>
    <col min="9" max="9" width="2.625" style="77" customWidth="1"/>
    <col min="10" max="10" width="1.375" style="77" customWidth="1"/>
    <col min="11" max="16384" width="10" style="77"/>
  </cols>
  <sheetData>
    <row r="1" spans="1:8" ht="13.8">
      <c r="A1" s="226" t="s">
        <v>345</v>
      </c>
      <c r="B1" s="226"/>
      <c r="C1" s="226"/>
      <c r="D1" s="226"/>
      <c r="E1" s="226"/>
      <c r="F1" s="226"/>
      <c r="G1" s="226"/>
      <c r="H1" s="226"/>
    </row>
    <row r="3" spans="1:8" ht="15" customHeight="1">
      <c r="A3" s="84" t="s">
        <v>49</v>
      </c>
      <c r="B3" s="84" t="s">
        <v>50</v>
      </c>
      <c r="C3" s="84"/>
      <c r="D3" s="84" t="s">
        <v>162</v>
      </c>
      <c r="E3" s="83" t="s">
        <v>160</v>
      </c>
      <c r="F3" s="84" t="s">
        <v>51</v>
      </c>
      <c r="G3" s="111" t="s">
        <v>51</v>
      </c>
      <c r="H3" s="84" t="s">
        <v>161</v>
      </c>
    </row>
    <row r="4" spans="1:8" ht="15.75" customHeight="1">
      <c r="A4" s="84" t="s">
        <v>257</v>
      </c>
      <c r="B4" s="84" t="s">
        <v>52</v>
      </c>
      <c r="C4" s="84"/>
      <c r="D4" s="84" t="s">
        <v>82</v>
      </c>
      <c r="E4" s="84" t="s">
        <v>82</v>
      </c>
      <c r="F4" s="84" t="s">
        <v>53</v>
      </c>
      <c r="G4" s="111" t="s">
        <v>344</v>
      </c>
      <c r="H4" s="84" t="s">
        <v>163</v>
      </c>
    </row>
    <row r="5" spans="1:8" ht="30" customHeight="1">
      <c r="B5" s="82"/>
      <c r="C5" s="82"/>
      <c r="D5" s="85" t="s">
        <v>204</v>
      </c>
      <c r="E5" s="85" t="s">
        <v>205</v>
      </c>
      <c r="F5" s="82"/>
      <c r="G5" s="112"/>
    </row>
    <row r="6" spans="1:8">
      <c r="A6" s="83" t="s">
        <v>54</v>
      </c>
      <c r="G6" s="113"/>
    </row>
    <row r="7" spans="1:8" ht="15" customHeight="1">
      <c r="A7" s="76">
        <v>0.98599999999999999</v>
      </c>
      <c r="B7" s="76" t="s">
        <v>55</v>
      </c>
      <c r="C7" s="117"/>
      <c r="D7" s="117">
        <v>7.9699999999999993E-2</v>
      </c>
      <c r="E7" s="117">
        <v>9.6000000000000002E-2</v>
      </c>
      <c r="F7" s="118">
        <v>13</v>
      </c>
      <c r="G7" s="194">
        <v>14</v>
      </c>
      <c r="H7" s="196" t="s">
        <v>95</v>
      </c>
    </row>
    <row r="8" spans="1:8" ht="15" customHeight="1">
      <c r="A8" s="79">
        <v>0.97799999999999998</v>
      </c>
      <c r="B8" s="79" t="s">
        <v>56</v>
      </c>
      <c r="C8" s="119"/>
      <c r="D8" s="119">
        <v>0.16020000000000001</v>
      </c>
      <c r="E8" s="119">
        <v>0.22750000000000001</v>
      </c>
      <c r="F8" s="120">
        <v>9</v>
      </c>
      <c r="G8" s="195">
        <v>17</v>
      </c>
      <c r="H8" s="80" t="s">
        <v>95</v>
      </c>
    </row>
    <row r="9" spans="1:8" ht="15" customHeight="1">
      <c r="A9" s="121">
        <v>0.95899999999999996</v>
      </c>
      <c r="B9" s="79" t="s">
        <v>57</v>
      </c>
      <c r="C9" s="119"/>
      <c r="D9" s="119">
        <v>0.26100000000000001</v>
      </c>
      <c r="E9" s="119">
        <v>0.41560000000000002</v>
      </c>
      <c r="F9" s="120">
        <v>0</v>
      </c>
      <c r="G9" s="195">
        <v>6</v>
      </c>
      <c r="H9" s="80" t="s">
        <v>239</v>
      </c>
    </row>
    <row r="10" spans="1:8" ht="15" customHeight="1">
      <c r="A10" s="121">
        <v>0.98499999999999999</v>
      </c>
      <c r="B10" s="79" t="s">
        <v>58</v>
      </c>
      <c r="C10" s="119"/>
      <c r="D10" s="119">
        <v>8.5999999999999993E-2</v>
      </c>
      <c r="E10" s="119">
        <v>0.1066</v>
      </c>
      <c r="F10" s="120">
        <v>13</v>
      </c>
      <c r="G10" s="195">
        <v>14</v>
      </c>
      <c r="H10" s="80" t="s">
        <v>95</v>
      </c>
    </row>
    <row r="11" spans="1:8" ht="15" customHeight="1">
      <c r="A11" s="121">
        <v>0.95399999999999996</v>
      </c>
      <c r="B11" s="79" t="s">
        <v>59</v>
      </c>
      <c r="C11" s="119"/>
      <c r="D11" s="119">
        <v>0.81689999999999996</v>
      </c>
      <c r="E11" s="119">
        <v>0.84419999999999995</v>
      </c>
      <c r="F11" s="120">
        <v>445</v>
      </c>
      <c r="G11" s="195">
        <v>367</v>
      </c>
      <c r="H11" s="80" t="s">
        <v>239</v>
      </c>
    </row>
    <row r="12" spans="1:8" ht="15" customHeight="1">
      <c r="A12" s="121">
        <v>0.98699999999999999</v>
      </c>
      <c r="B12" s="79" t="s">
        <v>60</v>
      </c>
      <c r="C12" s="119"/>
      <c r="D12" s="119">
        <v>1.5648</v>
      </c>
      <c r="E12" s="119">
        <v>1.9286000000000001</v>
      </c>
      <c r="F12" s="120">
        <v>500</v>
      </c>
      <c r="G12" s="195">
        <v>500</v>
      </c>
      <c r="H12" s="80" t="s">
        <v>95</v>
      </c>
    </row>
    <row r="13" spans="1:8" ht="15" customHeight="1">
      <c r="A13" s="121">
        <v>0.86499999999999999</v>
      </c>
      <c r="B13" s="79" t="s">
        <v>61</v>
      </c>
      <c r="C13" s="119"/>
      <c r="D13" s="119">
        <v>2.4276</v>
      </c>
      <c r="E13" s="119">
        <v>2.4115000000000002</v>
      </c>
      <c r="F13" s="120">
        <v>2112</v>
      </c>
      <c r="G13" s="195">
        <v>1870</v>
      </c>
      <c r="H13" s="80" t="s">
        <v>239</v>
      </c>
    </row>
    <row r="14" spans="1:8" ht="15" customHeight="1">
      <c r="A14" s="121">
        <v>0.98699999999999999</v>
      </c>
      <c r="B14" s="79" t="s">
        <v>173</v>
      </c>
      <c r="C14" s="119"/>
      <c r="D14" s="119">
        <v>1.4752000000000001</v>
      </c>
      <c r="E14" s="119">
        <v>1.8123</v>
      </c>
      <c r="F14" s="120">
        <v>522</v>
      </c>
      <c r="G14" s="195">
        <v>514</v>
      </c>
      <c r="H14" s="80" t="s">
        <v>95</v>
      </c>
    </row>
    <row r="15" spans="1:8" ht="15" customHeight="1">
      <c r="A15" s="121">
        <v>0.93300000000000005</v>
      </c>
      <c r="B15" s="79" t="s">
        <v>62</v>
      </c>
      <c r="C15" s="119"/>
      <c r="D15" s="119">
        <v>9.8732000000000006</v>
      </c>
      <c r="E15" s="119">
        <v>9.9763999999999999</v>
      </c>
      <c r="F15" s="120">
        <v>11281</v>
      </c>
      <c r="G15" s="195">
        <v>9519</v>
      </c>
      <c r="H15" s="80" t="s">
        <v>240</v>
      </c>
    </row>
    <row r="16" spans="1:8" ht="15" customHeight="1">
      <c r="A16" s="79">
        <v>0.90800000000000003</v>
      </c>
      <c r="B16" s="79" t="s">
        <v>175</v>
      </c>
      <c r="C16" s="78"/>
      <c r="D16" s="119">
        <v>8.7347000000000001</v>
      </c>
      <c r="E16" s="119">
        <v>10.0304</v>
      </c>
      <c r="F16" s="120">
        <v>10807</v>
      </c>
      <c r="G16" s="195">
        <v>9776</v>
      </c>
      <c r="H16" s="80" t="s">
        <v>239</v>
      </c>
    </row>
    <row r="17" spans="1:8" ht="8.25" customHeight="1">
      <c r="A17" s="87"/>
      <c r="B17" s="90"/>
      <c r="C17" s="91"/>
      <c r="D17" s="88"/>
      <c r="E17" s="88"/>
      <c r="F17" s="89"/>
      <c r="G17" s="144"/>
      <c r="H17" s="87"/>
    </row>
    <row r="18" spans="1:8" ht="15.75" customHeight="1">
      <c r="A18" s="92" t="s">
        <v>63</v>
      </c>
      <c r="B18" s="90"/>
      <c r="C18" s="88"/>
      <c r="D18" s="88"/>
      <c r="E18" s="88"/>
      <c r="F18" s="90"/>
      <c r="G18" s="144"/>
      <c r="H18" s="87"/>
    </row>
    <row r="19" spans="1:8" ht="15" customHeight="1">
      <c r="A19" s="122">
        <v>0.99099999999999999</v>
      </c>
      <c r="B19" s="76" t="s">
        <v>64</v>
      </c>
      <c r="C19" s="117"/>
      <c r="D19" s="117">
        <v>7.3599999999999999E-2</v>
      </c>
      <c r="E19" s="117">
        <v>8.7499999999999994E-2</v>
      </c>
      <c r="F19" s="118">
        <v>12</v>
      </c>
      <c r="G19" s="194">
        <v>13</v>
      </c>
      <c r="H19" s="196" t="s">
        <v>95</v>
      </c>
    </row>
    <row r="20" spans="1:8" ht="15" customHeight="1">
      <c r="A20" s="79">
        <v>0.97199999999999998</v>
      </c>
      <c r="B20" s="79" t="s">
        <v>65</v>
      </c>
      <c r="C20" s="119"/>
      <c r="D20" s="119">
        <v>0.12640000000000001</v>
      </c>
      <c r="E20" s="119">
        <v>0.17430000000000001</v>
      </c>
      <c r="F20" s="120">
        <v>0</v>
      </c>
      <c r="G20" s="195">
        <v>10</v>
      </c>
      <c r="H20" s="80" t="s">
        <v>239</v>
      </c>
    </row>
    <row r="21" spans="1:8" ht="15" customHeight="1">
      <c r="A21" s="79">
        <v>0.96599999999999997</v>
      </c>
      <c r="B21" s="79" t="s">
        <v>66</v>
      </c>
      <c r="C21" s="119"/>
      <c r="D21" s="119">
        <v>0.19980000000000001</v>
      </c>
      <c r="E21" s="119">
        <v>0.31359999999999999</v>
      </c>
      <c r="F21" s="120">
        <v>0</v>
      </c>
      <c r="G21" s="195">
        <v>5</v>
      </c>
      <c r="H21" s="80" t="s">
        <v>239</v>
      </c>
    </row>
    <row r="22" spans="1:8" ht="15" customHeight="1">
      <c r="A22" s="79">
        <v>0.98899999999999999</v>
      </c>
      <c r="B22" s="79" t="s">
        <v>67</v>
      </c>
      <c r="C22" s="119"/>
      <c r="D22" s="119">
        <v>7.9699999999999993E-2</v>
      </c>
      <c r="E22" s="119">
        <v>9.7900000000000001E-2</v>
      </c>
      <c r="F22" s="120">
        <v>10</v>
      </c>
      <c r="G22" s="195">
        <v>13</v>
      </c>
      <c r="H22" s="80" t="s">
        <v>95</v>
      </c>
    </row>
    <row r="23" spans="1:8" ht="15" customHeight="1">
      <c r="A23" s="79">
        <v>0.95299999999999996</v>
      </c>
      <c r="B23" s="79" t="s">
        <v>68</v>
      </c>
      <c r="C23" s="119"/>
      <c r="D23" s="119">
        <v>0.49680000000000002</v>
      </c>
      <c r="E23" s="119">
        <v>0.61839999999999995</v>
      </c>
      <c r="F23" s="120">
        <v>344</v>
      </c>
      <c r="G23" s="195">
        <v>274</v>
      </c>
      <c r="H23" s="80" t="s">
        <v>240</v>
      </c>
    </row>
    <row r="24" spans="1:8" ht="15" customHeight="1">
      <c r="A24" s="121">
        <v>0.97399999999999998</v>
      </c>
      <c r="B24" s="79" t="s">
        <v>69</v>
      </c>
      <c r="C24" s="119"/>
      <c r="D24" s="119">
        <v>0.84560000000000002</v>
      </c>
      <c r="E24" s="119">
        <v>1.2060999999999999</v>
      </c>
      <c r="F24" s="120">
        <v>661</v>
      </c>
      <c r="G24" s="195">
        <v>663</v>
      </c>
      <c r="H24" s="80" t="s">
        <v>95</v>
      </c>
    </row>
    <row r="25" spans="1:8" ht="15" customHeight="1">
      <c r="A25" s="121">
        <v>0.77500000000000002</v>
      </c>
      <c r="B25" s="79" t="s">
        <v>70</v>
      </c>
      <c r="C25" s="119"/>
      <c r="D25" s="119">
        <v>0.71640000000000004</v>
      </c>
      <c r="E25" s="119">
        <v>1.6813</v>
      </c>
      <c r="F25" s="120">
        <v>4208</v>
      </c>
      <c r="G25" s="197">
        <v>3208</v>
      </c>
      <c r="H25" s="80" t="s">
        <v>95</v>
      </c>
    </row>
    <row r="26" spans="1:8" ht="15" customHeight="1">
      <c r="A26" s="79">
        <v>0.97399999999999998</v>
      </c>
      <c r="B26" s="79" t="s">
        <v>165</v>
      </c>
      <c r="C26" s="119"/>
      <c r="D26" s="119">
        <v>0.81210000000000004</v>
      </c>
      <c r="E26" s="119">
        <v>1.1765000000000001</v>
      </c>
      <c r="F26" s="120">
        <v>714</v>
      </c>
      <c r="G26" s="197">
        <v>730</v>
      </c>
      <c r="H26" s="80" t="s">
        <v>239</v>
      </c>
    </row>
    <row r="27" spans="1:8" ht="8.25" customHeight="1">
      <c r="A27" s="90"/>
      <c r="B27" s="90"/>
      <c r="C27" s="90"/>
      <c r="D27" s="90"/>
      <c r="E27" s="90"/>
      <c r="F27" s="90"/>
      <c r="G27" s="114"/>
      <c r="H27" s="87"/>
    </row>
    <row r="28" spans="1:8" ht="15" customHeight="1">
      <c r="A28" s="77" t="s">
        <v>71</v>
      </c>
    </row>
    <row r="29" spans="1:8" ht="15" customHeight="1">
      <c r="B29" s="86" t="s">
        <v>72</v>
      </c>
      <c r="E29" s="86" t="s">
        <v>73</v>
      </c>
      <c r="H29" s="93" t="s">
        <v>74</v>
      </c>
    </row>
    <row r="30" spans="1:8" ht="15" customHeight="1">
      <c r="B30" s="77" t="s">
        <v>75</v>
      </c>
      <c r="E30" s="77" t="s">
        <v>76</v>
      </c>
      <c r="H30" s="82" t="s">
        <v>77</v>
      </c>
    </row>
    <row r="31" spans="1:8" ht="15" customHeight="1">
      <c r="B31" s="77" t="s">
        <v>78</v>
      </c>
      <c r="E31" s="77" t="s">
        <v>79</v>
      </c>
    </row>
    <row r="32" spans="1:8" ht="15" customHeight="1">
      <c r="E32" s="77" t="s">
        <v>80</v>
      </c>
    </row>
    <row r="33" spans="5:5" ht="15" customHeight="1">
      <c r="E33" s="77" t="s">
        <v>81</v>
      </c>
    </row>
  </sheetData>
  <mergeCells count="1">
    <mergeCell ref="A1:H1"/>
  </mergeCells>
  <phoneticPr fontId="2" type="noConversion"/>
  <printOptions horizontalCentered="1"/>
  <pageMargins left="0.75" right="0.75" top="0.92" bottom="0.81" header="0.5" footer="0.5"/>
  <pageSetup scale="76" orientation="landscape" horizontalDpi="300" verticalDpi="300" r:id="rId1"/>
  <headerFooter alignWithMargins="0">
    <oddHeader>&amp;R&amp;"Times New Roman,Regular"&amp;10Adjustment No. __&amp;U2.10&amp;U__
Workpaper Ref. G-WN-__</oddHeader>
    <oddFooter>&amp;L&amp;"Times New Roman,Regular"&amp;10&amp;F / &amp;A&amp;C&amp;"Times New Roman,Regular"&amp;10Page &amp;P of &amp;N&amp;R&amp;"Times New Roman,Regular"&amp;10Prep by:________  1st Review:________
Date: &amp;D     Mgr. Review:________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50"/>
  <sheetViews>
    <sheetView workbookViewId="0"/>
  </sheetViews>
  <sheetFormatPr defaultColWidth="8" defaultRowHeight="12" customHeight="1"/>
  <cols>
    <col min="1" max="1" width="11" style="15" customWidth="1"/>
    <col min="2" max="2" width="16.875" style="15" customWidth="1"/>
    <col min="3" max="3" width="6.5" style="16" customWidth="1"/>
    <col min="4" max="4" width="6.75" style="16" customWidth="1"/>
    <col min="5" max="5" width="8.75" style="16" customWidth="1"/>
    <col min="6" max="6" width="7.125" style="16" customWidth="1"/>
    <col min="7" max="8" width="8.625" style="16" customWidth="1"/>
    <col min="9" max="9" width="7.5" style="16" customWidth="1"/>
    <col min="10" max="10" width="8.5" style="16" customWidth="1"/>
    <col min="11" max="12" width="6.375" style="16" customWidth="1"/>
    <col min="13" max="13" width="6.25" style="16" customWidth="1"/>
    <col min="14" max="14" width="6.125" style="16" customWidth="1"/>
    <col min="15" max="16384" width="8" style="16"/>
  </cols>
  <sheetData>
    <row r="1" spans="1:21" ht="13.95" customHeight="1">
      <c r="A1" s="127" t="s">
        <v>209</v>
      </c>
      <c r="B1" s="128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8"/>
    </row>
    <row r="2" spans="1:21" ht="13.95" customHeight="1">
      <c r="A2" s="127" t="s">
        <v>234</v>
      </c>
      <c r="B2" s="128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8" t="s">
        <v>82</v>
      </c>
    </row>
    <row r="3" spans="1:21" ht="13.2" customHeight="1">
      <c r="A3" s="127"/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8" t="s">
        <v>210</v>
      </c>
    </row>
    <row r="4" spans="1:21" ht="13.2" customHeight="1">
      <c r="A4" s="128"/>
      <c r="B4" s="128"/>
      <c r="C4" s="128" t="s">
        <v>17</v>
      </c>
      <c r="D4" s="128" t="s">
        <v>18</v>
      </c>
      <c r="E4" s="128" t="s">
        <v>19</v>
      </c>
      <c r="F4" s="128" t="s">
        <v>20</v>
      </c>
      <c r="G4" s="128" t="s">
        <v>21</v>
      </c>
      <c r="H4" s="128" t="s">
        <v>22</v>
      </c>
      <c r="I4" s="128" t="s">
        <v>11</v>
      </c>
      <c r="J4" s="128" t="s">
        <v>12</v>
      </c>
      <c r="K4" s="128" t="s">
        <v>13</v>
      </c>
      <c r="L4" s="128" t="s">
        <v>14</v>
      </c>
      <c r="M4" s="128" t="s">
        <v>15</v>
      </c>
      <c r="N4" s="128" t="s">
        <v>16</v>
      </c>
      <c r="O4" s="128" t="s">
        <v>10</v>
      </c>
    </row>
    <row r="5" spans="1:21" ht="13.2">
      <c r="A5" s="128">
        <v>1</v>
      </c>
      <c r="B5" s="128" t="s">
        <v>358</v>
      </c>
      <c r="C5" s="130">
        <v>0</v>
      </c>
      <c r="D5" s="130">
        <v>3</v>
      </c>
      <c r="E5" s="130">
        <v>166</v>
      </c>
      <c r="F5" s="130">
        <v>560</v>
      </c>
      <c r="G5" s="130">
        <v>811</v>
      </c>
      <c r="H5" s="130">
        <v>1179</v>
      </c>
      <c r="I5" s="130">
        <v>960</v>
      </c>
      <c r="J5" s="130">
        <v>968</v>
      </c>
      <c r="K5" s="130">
        <v>783</v>
      </c>
      <c r="L5" s="130">
        <v>543</v>
      </c>
      <c r="M5" s="130">
        <v>125</v>
      </c>
      <c r="N5" s="130">
        <v>103</v>
      </c>
      <c r="O5" s="131">
        <f>SUM(C5:N5)</f>
        <v>6201</v>
      </c>
    </row>
    <row r="6" spans="1:21" ht="13.2">
      <c r="A6" s="128">
        <v>2</v>
      </c>
      <c r="B6" s="128" t="s">
        <v>346</v>
      </c>
      <c r="C6" s="130">
        <v>20</v>
      </c>
      <c r="D6" s="130">
        <v>10</v>
      </c>
      <c r="E6" s="130">
        <v>158</v>
      </c>
      <c r="F6" s="130">
        <v>508</v>
      </c>
      <c r="G6" s="130">
        <v>637</v>
      </c>
      <c r="H6" s="130">
        <v>1289</v>
      </c>
      <c r="I6" s="130">
        <v>1379</v>
      </c>
      <c r="J6" s="130">
        <v>992</v>
      </c>
      <c r="K6" s="130">
        <v>741</v>
      </c>
      <c r="L6" s="130">
        <v>556</v>
      </c>
      <c r="M6" s="130">
        <v>272</v>
      </c>
      <c r="N6" s="130">
        <v>66</v>
      </c>
      <c r="O6" s="131">
        <f>SUM(C6:N6)</f>
        <v>6628</v>
      </c>
    </row>
    <row r="7" spans="1:21" ht="13.2">
      <c r="A7" s="128">
        <v>3</v>
      </c>
      <c r="B7" s="128" t="s">
        <v>314</v>
      </c>
      <c r="C7" s="130">
        <v>5</v>
      </c>
      <c r="D7" s="130">
        <v>11</v>
      </c>
      <c r="E7" s="130">
        <v>197</v>
      </c>
      <c r="F7" s="130">
        <v>322</v>
      </c>
      <c r="G7" s="130">
        <v>899</v>
      </c>
      <c r="H7" s="130">
        <v>1054</v>
      </c>
      <c r="I7" s="130">
        <v>1048</v>
      </c>
      <c r="J7" s="130">
        <v>753</v>
      </c>
      <c r="K7" s="130">
        <v>683</v>
      </c>
      <c r="L7" s="130">
        <v>308</v>
      </c>
      <c r="M7" s="130">
        <v>198</v>
      </c>
      <c r="N7" s="130">
        <v>110</v>
      </c>
      <c r="O7" s="131">
        <f>SUM(C7:N7)</f>
        <v>5588</v>
      </c>
      <c r="P7" s="18"/>
      <c r="Q7" s="18"/>
      <c r="R7" s="18"/>
      <c r="S7" s="18"/>
      <c r="T7" s="18"/>
      <c r="U7" s="18"/>
    </row>
    <row r="8" spans="1:21" ht="13.2">
      <c r="A8" s="128">
        <v>4</v>
      </c>
      <c r="B8" s="128" t="s">
        <v>309</v>
      </c>
      <c r="C8" s="130">
        <v>7</v>
      </c>
      <c r="D8" s="130">
        <v>5</v>
      </c>
      <c r="E8" s="130">
        <v>94</v>
      </c>
      <c r="F8" s="130">
        <v>357</v>
      </c>
      <c r="G8" s="130">
        <v>906</v>
      </c>
      <c r="H8" s="130">
        <v>991</v>
      </c>
      <c r="I8" s="130">
        <v>1049</v>
      </c>
      <c r="J8" s="130">
        <v>713</v>
      </c>
      <c r="K8" s="130">
        <v>597</v>
      </c>
      <c r="L8" s="130">
        <v>519</v>
      </c>
      <c r="M8" s="130">
        <v>157</v>
      </c>
      <c r="N8" s="130">
        <v>25</v>
      </c>
      <c r="O8" s="131">
        <f t="shared" ref="O8:O34" si="0">SUM(C8:N8)</f>
        <v>5420</v>
      </c>
      <c r="P8" s="18"/>
      <c r="Q8" s="18"/>
      <c r="R8" s="18"/>
      <c r="S8" s="18"/>
      <c r="T8" s="18"/>
      <c r="U8" s="18"/>
    </row>
    <row r="9" spans="1:21" ht="13.2">
      <c r="A9" s="128">
        <v>5</v>
      </c>
      <c r="B9" s="128" t="s">
        <v>270</v>
      </c>
      <c r="C9" s="130">
        <v>0</v>
      </c>
      <c r="D9" s="130">
        <v>7</v>
      </c>
      <c r="E9" s="130">
        <v>160</v>
      </c>
      <c r="F9" s="130">
        <v>590</v>
      </c>
      <c r="G9" s="130">
        <v>898</v>
      </c>
      <c r="H9" s="130">
        <v>1213</v>
      </c>
      <c r="I9" s="130">
        <v>1090</v>
      </c>
      <c r="J9" s="130">
        <v>1085</v>
      </c>
      <c r="K9" s="130">
        <v>780</v>
      </c>
      <c r="L9" s="130">
        <v>537</v>
      </c>
      <c r="M9" s="130">
        <v>227</v>
      </c>
      <c r="N9" s="130">
        <v>106</v>
      </c>
      <c r="O9" s="131">
        <f t="shared" si="0"/>
        <v>6693</v>
      </c>
      <c r="P9" s="18"/>
      <c r="Q9" s="18"/>
      <c r="R9" s="18"/>
      <c r="S9" s="18"/>
      <c r="T9" s="18"/>
      <c r="U9" s="18"/>
    </row>
    <row r="10" spans="1:21" ht="13.2">
      <c r="A10" s="128">
        <v>6</v>
      </c>
      <c r="B10" s="128" t="s">
        <v>266</v>
      </c>
      <c r="C10" s="130">
        <v>20</v>
      </c>
      <c r="D10" s="130">
        <v>14</v>
      </c>
      <c r="E10" s="130">
        <v>68</v>
      </c>
      <c r="F10" s="130">
        <v>504</v>
      </c>
      <c r="G10" s="130">
        <v>779</v>
      </c>
      <c r="H10" s="130">
        <v>1040</v>
      </c>
      <c r="I10" s="130">
        <v>1243</v>
      </c>
      <c r="J10" s="130">
        <v>869</v>
      </c>
      <c r="K10" s="130">
        <v>730</v>
      </c>
      <c r="L10" s="130">
        <v>561</v>
      </c>
      <c r="M10" s="130">
        <v>272</v>
      </c>
      <c r="N10" s="130">
        <v>140</v>
      </c>
      <c r="O10" s="131">
        <f t="shared" si="0"/>
        <v>6240</v>
      </c>
      <c r="P10" s="18"/>
      <c r="Q10" s="18"/>
      <c r="R10" s="18"/>
      <c r="S10" s="18"/>
      <c r="T10" s="18"/>
      <c r="U10" s="18"/>
    </row>
    <row r="11" spans="1:21" ht="13.2">
      <c r="A11" s="128">
        <v>7</v>
      </c>
      <c r="B11" s="128" t="s">
        <v>263</v>
      </c>
      <c r="C11" s="130">
        <v>40</v>
      </c>
      <c r="D11" s="130">
        <v>8</v>
      </c>
      <c r="E11" s="130">
        <v>99</v>
      </c>
      <c r="F11" s="130">
        <v>516</v>
      </c>
      <c r="G11" s="130">
        <v>890</v>
      </c>
      <c r="H11" s="130">
        <v>1118</v>
      </c>
      <c r="I11" s="130">
        <v>1078</v>
      </c>
      <c r="J11" s="130">
        <v>930</v>
      </c>
      <c r="K11" s="130">
        <v>809</v>
      </c>
      <c r="L11" s="130">
        <v>494</v>
      </c>
      <c r="M11" s="130">
        <v>345</v>
      </c>
      <c r="N11" s="130">
        <v>175</v>
      </c>
      <c r="O11" s="131">
        <f t="shared" si="0"/>
        <v>6502</v>
      </c>
      <c r="P11" s="19"/>
      <c r="Q11" s="18"/>
      <c r="R11" s="18"/>
      <c r="S11" s="18"/>
      <c r="T11" s="18"/>
      <c r="U11" s="18"/>
    </row>
    <row r="12" spans="1:21" ht="13.2">
      <c r="A12" s="128">
        <v>8</v>
      </c>
      <c r="B12" s="128" t="s">
        <v>258</v>
      </c>
      <c r="C12" s="132">
        <v>48</v>
      </c>
      <c r="D12" s="132">
        <v>47</v>
      </c>
      <c r="E12" s="132">
        <v>158</v>
      </c>
      <c r="F12" s="132">
        <v>472</v>
      </c>
      <c r="G12" s="132">
        <v>948</v>
      </c>
      <c r="H12" s="132">
        <v>1096</v>
      </c>
      <c r="I12" s="132">
        <v>1103</v>
      </c>
      <c r="J12" s="132">
        <v>1006</v>
      </c>
      <c r="K12" s="132">
        <v>790</v>
      </c>
      <c r="L12" s="132">
        <v>698</v>
      </c>
      <c r="M12" s="132">
        <v>401</v>
      </c>
      <c r="N12" s="132">
        <v>192</v>
      </c>
      <c r="O12" s="131">
        <f t="shared" si="0"/>
        <v>6959</v>
      </c>
      <c r="Q12" s="18"/>
      <c r="R12" s="18"/>
      <c r="S12" s="18"/>
      <c r="T12" s="18"/>
      <c r="U12" s="18"/>
    </row>
    <row r="13" spans="1:21" ht="13.2">
      <c r="A13" s="128">
        <v>9</v>
      </c>
      <c r="B13" s="128" t="s">
        <v>264</v>
      </c>
      <c r="C13" s="132">
        <v>17</v>
      </c>
      <c r="D13" s="132">
        <v>23</v>
      </c>
      <c r="E13" s="132">
        <v>103</v>
      </c>
      <c r="F13" s="132">
        <v>668</v>
      </c>
      <c r="G13" s="132">
        <v>834</v>
      </c>
      <c r="H13" s="132">
        <v>1252</v>
      </c>
      <c r="I13" s="132">
        <v>919</v>
      </c>
      <c r="J13" s="132">
        <v>751</v>
      </c>
      <c r="K13" s="132">
        <v>733</v>
      </c>
      <c r="L13" s="132">
        <v>538</v>
      </c>
      <c r="M13" s="132">
        <v>420</v>
      </c>
      <c r="N13" s="132">
        <v>190</v>
      </c>
      <c r="O13" s="131">
        <f t="shared" si="0"/>
        <v>6448</v>
      </c>
      <c r="Q13" s="18"/>
      <c r="R13" s="18"/>
      <c r="S13" s="18"/>
      <c r="T13" s="18"/>
      <c r="U13" s="18"/>
    </row>
    <row r="14" spans="1:21" ht="13.2">
      <c r="A14" s="128">
        <v>10</v>
      </c>
      <c r="B14" s="128" t="s">
        <v>237</v>
      </c>
      <c r="C14" s="132">
        <v>8</v>
      </c>
      <c r="D14" s="132">
        <v>52</v>
      </c>
      <c r="E14" s="132">
        <v>142</v>
      </c>
      <c r="F14" s="132">
        <v>529</v>
      </c>
      <c r="G14" s="132">
        <v>785</v>
      </c>
      <c r="H14" s="132">
        <v>1328</v>
      </c>
      <c r="I14" s="132">
        <v>1204</v>
      </c>
      <c r="J14" s="130">
        <v>957</v>
      </c>
      <c r="K14" s="132">
        <v>936</v>
      </c>
      <c r="L14" s="132">
        <v>586</v>
      </c>
      <c r="M14" s="132">
        <v>303</v>
      </c>
      <c r="N14" s="132">
        <v>93</v>
      </c>
      <c r="O14" s="131">
        <f t="shared" si="0"/>
        <v>6923</v>
      </c>
      <c r="Q14" s="18"/>
      <c r="R14" s="18"/>
      <c r="S14" s="18"/>
      <c r="T14" s="18"/>
      <c r="U14" s="18"/>
    </row>
    <row r="15" spans="1:21" ht="13.2">
      <c r="A15" s="128">
        <v>11</v>
      </c>
      <c r="B15" s="128" t="s">
        <v>233</v>
      </c>
      <c r="C15" s="132">
        <v>0</v>
      </c>
      <c r="D15" s="132">
        <v>27</v>
      </c>
      <c r="E15" s="132">
        <v>194</v>
      </c>
      <c r="F15" s="132">
        <v>553</v>
      </c>
      <c r="G15" s="132">
        <v>894</v>
      </c>
      <c r="H15" s="132">
        <v>1126</v>
      </c>
      <c r="I15" s="132">
        <v>1243</v>
      </c>
      <c r="J15" s="130">
        <v>952</v>
      </c>
      <c r="K15" s="132">
        <v>880</v>
      </c>
      <c r="L15" s="132">
        <v>683</v>
      </c>
      <c r="M15" s="132">
        <v>274</v>
      </c>
      <c r="N15" s="132">
        <v>176</v>
      </c>
      <c r="O15" s="131">
        <f t="shared" si="0"/>
        <v>7002</v>
      </c>
      <c r="Q15" s="18"/>
      <c r="R15" s="18"/>
      <c r="S15" s="18"/>
      <c r="T15" s="18"/>
      <c r="U15" s="18"/>
    </row>
    <row r="16" spans="1:21" ht="13.2">
      <c r="A16" s="128">
        <v>12</v>
      </c>
      <c r="B16" s="128" t="s">
        <v>211</v>
      </c>
      <c r="C16" s="132">
        <v>8</v>
      </c>
      <c r="D16" s="132">
        <v>30</v>
      </c>
      <c r="E16" s="132">
        <v>170</v>
      </c>
      <c r="F16" s="132">
        <v>552</v>
      </c>
      <c r="G16" s="132">
        <v>865</v>
      </c>
      <c r="H16" s="132">
        <v>1122</v>
      </c>
      <c r="I16" s="132">
        <v>1243</v>
      </c>
      <c r="J16" s="130">
        <v>864</v>
      </c>
      <c r="K16" s="132">
        <v>685</v>
      </c>
      <c r="L16" s="132">
        <v>548</v>
      </c>
      <c r="M16" s="132">
        <v>270</v>
      </c>
      <c r="N16" s="132">
        <v>136</v>
      </c>
      <c r="O16" s="131">
        <f t="shared" si="0"/>
        <v>6493</v>
      </c>
      <c r="Q16" s="18"/>
      <c r="R16" s="18"/>
      <c r="S16" s="18"/>
      <c r="T16" s="18"/>
      <c r="U16" s="18"/>
    </row>
    <row r="17" spans="1:21" ht="13.2">
      <c r="A17" s="128">
        <v>13</v>
      </c>
      <c r="B17" s="128" t="s">
        <v>212</v>
      </c>
      <c r="C17" s="132">
        <v>11</v>
      </c>
      <c r="D17" s="132">
        <v>22</v>
      </c>
      <c r="E17" s="132">
        <v>229</v>
      </c>
      <c r="F17" s="132">
        <v>489</v>
      </c>
      <c r="G17" s="132">
        <v>919</v>
      </c>
      <c r="H17" s="132">
        <v>1258</v>
      </c>
      <c r="I17" s="132">
        <v>905</v>
      </c>
      <c r="J17" s="130">
        <v>949</v>
      </c>
      <c r="K17" s="132">
        <v>812</v>
      </c>
      <c r="L17" s="132">
        <v>525</v>
      </c>
      <c r="M17" s="132">
        <v>301</v>
      </c>
      <c r="N17" s="132">
        <v>104</v>
      </c>
      <c r="O17" s="131">
        <f t="shared" si="0"/>
        <v>6524</v>
      </c>
      <c r="Q17" s="18"/>
      <c r="R17" s="18"/>
      <c r="S17" s="18"/>
      <c r="T17" s="18"/>
      <c r="U17" s="18"/>
    </row>
    <row r="18" spans="1:21" ht="13.2">
      <c r="A18" s="128">
        <v>14</v>
      </c>
      <c r="B18" s="128" t="s">
        <v>213</v>
      </c>
      <c r="C18" s="132">
        <v>16</v>
      </c>
      <c r="D18" s="132">
        <v>34</v>
      </c>
      <c r="E18" s="132">
        <v>204</v>
      </c>
      <c r="F18" s="132">
        <v>480</v>
      </c>
      <c r="G18" s="132">
        <v>857</v>
      </c>
      <c r="H18" s="132">
        <v>1020</v>
      </c>
      <c r="I18" s="132">
        <v>1128</v>
      </c>
      <c r="J18" s="130">
        <v>842</v>
      </c>
      <c r="K18" s="132">
        <v>711</v>
      </c>
      <c r="L18" s="132">
        <v>503</v>
      </c>
      <c r="M18" s="132">
        <v>260</v>
      </c>
      <c r="N18" s="132">
        <v>166</v>
      </c>
      <c r="O18" s="131">
        <f t="shared" si="0"/>
        <v>6221</v>
      </c>
      <c r="Q18" s="18"/>
      <c r="R18" s="18"/>
      <c r="S18" s="18"/>
      <c r="T18" s="18"/>
      <c r="U18" s="18"/>
    </row>
    <row r="19" spans="1:21" ht="13.2">
      <c r="A19" s="128">
        <v>15</v>
      </c>
      <c r="B19" s="128" t="s">
        <v>214</v>
      </c>
      <c r="C19" s="132">
        <v>9</v>
      </c>
      <c r="D19" s="132">
        <v>1</v>
      </c>
      <c r="E19" s="132">
        <v>151</v>
      </c>
      <c r="F19" s="132">
        <v>418</v>
      </c>
      <c r="G19" s="132">
        <v>1056</v>
      </c>
      <c r="H19" s="132">
        <v>1083</v>
      </c>
      <c r="I19" s="132">
        <v>1193</v>
      </c>
      <c r="J19" s="130">
        <v>945</v>
      </c>
      <c r="K19" s="132">
        <v>668</v>
      </c>
      <c r="L19" s="132">
        <v>455</v>
      </c>
      <c r="M19" s="132">
        <v>315</v>
      </c>
      <c r="N19" s="132">
        <v>131</v>
      </c>
      <c r="O19" s="131">
        <f t="shared" si="0"/>
        <v>6425</v>
      </c>
      <c r="Q19" s="18"/>
      <c r="R19" s="18"/>
      <c r="S19" s="18"/>
      <c r="T19" s="18"/>
      <c r="U19" s="18"/>
    </row>
    <row r="20" spans="1:21" ht="13.2">
      <c r="A20" s="128">
        <v>16</v>
      </c>
      <c r="B20" s="128" t="s">
        <v>215</v>
      </c>
      <c r="C20" s="132">
        <v>28</v>
      </c>
      <c r="D20" s="132">
        <v>26</v>
      </c>
      <c r="E20" s="132">
        <v>219</v>
      </c>
      <c r="F20" s="132">
        <v>678</v>
      </c>
      <c r="G20" s="132">
        <v>839</v>
      </c>
      <c r="H20" s="132">
        <v>962</v>
      </c>
      <c r="I20" s="132">
        <v>957</v>
      </c>
      <c r="J20" s="130">
        <v>885</v>
      </c>
      <c r="K20" s="132">
        <v>745</v>
      </c>
      <c r="L20" s="132">
        <v>588</v>
      </c>
      <c r="M20" s="132">
        <v>365</v>
      </c>
      <c r="N20" s="132">
        <v>90</v>
      </c>
      <c r="O20" s="131">
        <f t="shared" si="0"/>
        <v>6382</v>
      </c>
      <c r="Q20" s="18"/>
      <c r="R20" s="18"/>
      <c r="S20" s="18"/>
      <c r="T20" s="18"/>
      <c r="U20" s="18"/>
    </row>
    <row r="21" spans="1:21" ht="13.2">
      <c r="A21" s="128">
        <v>17</v>
      </c>
      <c r="B21" s="128" t="s">
        <v>216</v>
      </c>
      <c r="C21" s="132">
        <v>33</v>
      </c>
      <c r="D21" s="132">
        <v>20</v>
      </c>
      <c r="E21" s="132">
        <v>100</v>
      </c>
      <c r="F21" s="132">
        <v>588</v>
      </c>
      <c r="G21" s="132">
        <v>744</v>
      </c>
      <c r="H21" s="132">
        <v>1136</v>
      </c>
      <c r="I21" s="132">
        <v>1063</v>
      </c>
      <c r="J21" s="130">
        <v>934</v>
      </c>
      <c r="K21" s="132">
        <v>938</v>
      </c>
      <c r="L21" s="132">
        <v>581</v>
      </c>
      <c r="M21" s="132">
        <v>412</v>
      </c>
      <c r="N21" s="132">
        <v>137</v>
      </c>
      <c r="O21" s="131">
        <f t="shared" si="0"/>
        <v>6686</v>
      </c>
      <c r="Q21" s="18"/>
      <c r="R21" s="18"/>
      <c r="S21" s="18"/>
      <c r="T21" s="18"/>
      <c r="U21" s="18"/>
    </row>
    <row r="22" spans="1:21" ht="13.2">
      <c r="A22" s="128">
        <v>18</v>
      </c>
      <c r="B22" s="128" t="s">
        <v>217</v>
      </c>
      <c r="C22" s="132">
        <v>51</v>
      </c>
      <c r="D22" s="132">
        <v>43</v>
      </c>
      <c r="E22" s="132">
        <v>285</v>
      </c>
      <c r="F22" s="132">
        <v>572</v>
      </c>
      <c r="G22" s="132">
        <v>1134</v>
      </c>
      <c r="H22" s="132">
        <v>1245</v>
      </c>
      <c r="I22" s="132">
        <v>1168</v>
      </c>
      <c r="J22" s="130">
        <v>1060</v>
      </c>
      <c r="K22" s="132">
        <v>795</v>
      </c>
      <c r="L22" s="132">
        <v>634</v>
      </c>
      <c r="M22" s="132">
        <v>320</v>
      </c>
      <c r="N22" s="132">
        <v>201</v>
      </c>
      <c r="O22" s="131">
        <f t="shared" si="0"/>
        <v>7508</v>
      </c>
      <c r="Q22" s="18"/>
      <c r="R22" s="18"/>
      <c r="S22" s="18"/>
      <c r="T22" s="18"/>
      <c r="U22" s="18"/>
    </row>
    <row r="23" spans="1:21" ht="13.2">
      <c r="A23" s="128">
        <v>19</v>
      </c>
      <c r="B23" s="128" t="s">
        <v>218</v>
      </c>
      <c r="C23" s="132">
        <v>75</v>
      </c>
      <c r="D23" s="132">
        <v>36</v>
      </c>
      <c r="E23" s="132">
        <v>181</v>
      </c>
      <c r="F23" s="132">
        <v>540</v>
      </c>
      <c r="G23" s="132">
        <v>703</v>
      </c>
      <c r="H23" s="132">
        <v>1030</v>
      </c>
      <c r="I23" s="132">
        <v>1143</v>
      </c>
      <c r="J23" s="130">
        <v>908</v>
      </c>
      <c r="K23" s="132">
        <v>799</v>
      </c>
      <c r="L23" s="132">
        <v>496</v>
      </c>
      <c r="M23" s="132">
        <v>363</v>
      </c>
      <c r="N23" s="132">
        <v>142</v>
      </c>
      <c r="O23" s="131">
        <f t="shared" si="0"/>
        <v>6416</v>
      </c>
    </row>
    <row r="24" spans="1:21" ht="13.2">
      <c r="A24" s="128">
        <v>20</v>
      </c>
      <c r="B24" s="128" t="s">
        <v>219</v>
      </c>
      <c r="C24" s="132">
        <v>0</v>
      </c>
      <c r="D24" s="132">
        <v>20</v>
      </c>
      <c r="E24" s="132">
        <v>101</v>
      </c>
      <c r="F24" s="132">
        <v>565</v>
      </c>
      <c r="G24" s="132">
        <v>748</v>
      </c>
      <c r="H24" s="132">
        <v>1119</v>
      </c>
      <c r="I24" s="132">
        <v>1010</v>
      </c>
      <c r="J24" s="130">
        <v>836</v>
      </c>
      <c r="K24" s="132">
        <v>769</v>
      </c>
      <c r="L24" s="132">
        <v>594</v>
      </c>
      <c r="M24" s="132">
        <v>448</v>
      </c>
      <c r="N24" s="132">
        <v>186</v>
      </c>
      <c r="O24" s="131">
        <f t="shared" si="0"/>
        <v>6396</v>
      </c>
    </row>
    <row r="25" spans="1:21" ht="13.2">
      <c r="A25" s="128">
        <v>21</v>
      </c>
      <c r="B25" s="128" t="s">
        <v>220</v>
      </c>
      <c r="C25" s="132">
        <v>35</v>
      </c>
      <c r="D25" s="132">
        <v>15</v>
      </c>
      <c r="E25" s="132">
        <v>116</v>
      </c>
      <c r="F25" s="132">
        <v>549</v>
      </c>
      <c r="G25" s="132">
        <v>785</v>
      </c>
      <c r="H25" s="132">
        <v>1098</v>
      </c>
      <c r="I25" s="132">
        <v>1058</v>
      </c>
      <c r="J25" s="130">
        <v>747</v>
      </c>
      <c r="K25" s="132">
        <v>721</v>
      </c>
      <c r="L25" s="132">
        <v>505</v>
      </c>
      <c r="M25" s="132">
        <v>276</v>
      </c>
      <c r="N25" s="132">
        <v>90</v>
      </c>
      <c r="O25" s="131">
        <f t="shared" si="0"/>
        <v>5995</v>
      </c>
    </row>
    <row r="26" spans="1:21" ht="13.2">
      <c r="A26" s="128">
        <v>22</v>
      </c>
      <c r="B26" s="128" t="s">
        <v>221</v>
      </c>
      <c r="C26" s="132">
        <v>35</v>
      </c>
      <c r="D26" s="132">
        <v>49</v>
      </c>
      <c r="E26" s="132">
        <v>281</v>
      </c>
      <c r="F26" s="132">
        <v>603</v>
      </c>
      <c r="G26" s="132">
        <v>949</v>
      </c>
      <c r="H26" s="132">
        <v>1241</v>
      </c>
      <c r="I26" s="132">
        <v>1130</v>
      </c>
      <c r="J26" s="130">
        <v>928</v>
      </c>
      <c r="K26" s="132">
        <v>794</v>
      </c>
      <c r="L26" s="132">
        <v>642</v>
      </c>
      <c r="M26" s="132">
        <v>264</v>
      </c>
      <c r="N26" s="132">
        <v>154</v>
      </c>
      <c r="O26" s="131">
        <f t="shared" si="0"/>
        <v>7070</v>
      </c>
    </row>
    <row r="27" spans="1:21" ht="13.2">
      <c r="A27" s="128">
        <v>23</v>
      </c>
      <c r="B27" s="128" t="s">
        <v>222</v>
      </c>
      <c r="C27" s="132">
        <v>21</v>
      </c>
      <c r="D27" s="132">
        <v>88</v>
      </c>
      <c r="E27" s="132">
        <v>146</v>
      </c>
      <c r="F27" s="132">
        <v>648</v>
      </c>
      <c r="G27" s="132">
        <v>742</v>
      </c>
      <c r="H27" s="132">
        <v>1120</v>
      </c>
      <c r="I27" s="132">
        <v>1217</v>
      </c>
      <c r="J27" s="130">
        <v>1045</v>
      </c>
      <c r="K27" s="132">
        <v>880</v>
      </c>
      <c r="L27" s="132">
        <v>556</v>
      </c>
      <c r="M27" s="132">
        <v>471</v>
      </c>
      <c r="N27" s="132">
        <v>143</v>
      </c>
      <c r="O27" s="131">
        <f t="shared" si="0"/>
        <v>7077</v>
      </c>
    </row>
    <row r="28" spans="1:21" ht="13.2">
      <c r="A28" s="128">
        <v>24</v>
      </c>
      <c r="B28" s="128" t="s">
        <v>223</v>
      </c>
      <c r="C28" s="132">
        <v>26</v>
      </c>
      <c r="D28" s="132">
        <v>13</v>
      </c>
      <c r="E28" s="132">
        <v>81</v>
      </c>
      <c r="F28" s="132">
        <v>558</v>
      </c>
      <c r="G28" s="132">
        <v>970</v>
      </c>
      <c r="H28" s="132">
        <v>1071</v>
      </c>
      <c r="I28" s="132">
        <v>1045</v>
      </c>
      <c r="J28" s="130">
        <v>771</v>
      </c>
      <c r="K28" s="132">
        <v>771</v>
      </c>
      <c r="L28" s="132">
        <v>578</v>
      </c>
      <c r="M28" s="132">
        <v>262</v>
      </c>
      <c r="N28" s="132">
        <v>170</v>
      </c>
      <c r="O28" s="131">
        <f t="shared" si="0"/>
        <v>6316</v>
      </c>
    </row>
    <row r="29" spans="1:21" ht="13.2">
      <c r="A29" s="128">
        <v>25</v>
      </c>
      <c r="B29" s="128" t="s">
        <v>224</v>
      </c>
      <c r="C29" s="132">
        <v>151</v>
      </c>
      <c r="D29" s="132">
        <v>83</v>
      </c>
      <c r="E29" s="132">
        <v>217</v>
      </c>
      <c r="F29" s="132">
        <v>457</v>
      </c>
      <c r="G29" s="132">
        <v>1063</v>
      </c>
      <c r="H29" s="132">
        <v>1051</v>
      </c>
      <c r="I29" s="132">
        <v>904</v>
      </c>
      <c r="J29" s="130">
        <v>998</v>
      </c>
      <c r="K29" s="132">
        <v>713</v>
      </c>
      <c r="L29" s="132">
        <v>469</v>
      </c>
      <c r="M29" s="132">
        <v>262</v>
      </c>
      <c r="N29" s="132">
        <v>160</v>
      </c>
      <c r="O29" s="131">
        <f t="shared" si="0"/>
        <v>6528</v>
      </c>
      <c r="P29" s="19"/>
    </row>
    <row r="30" spans="1:21" ht="13.2">
      <c r="A30" s="128">
        <v>26</v>
      </c>
      <c r="B30" s="128" t="s">
        <v>225</v>
      </c>
      <c r="C30" s="132">
        <v>32</v>
      </c>
      <c r="D30" s="132">
        <v>60</v>
      </c>
      <c r="E30" s="132">
        <v>232</v>
      </c>
      <c r="F30" s="132">
        <v>481</v>
      </c>
      <c r="G30" s="132">
        <v>916</v>
      </c>
      <c r="H30" s="132">
        <v>1297</v>
      </c>
      <c r="I30" s="132">
        <v>1331</v>
      </c>
      <c r="J30" s="130">
        <v>1102</v>
      </c>
      <c r="K30" s="132">
        <v>834</v>
      </c>
      <c r="L30" s="132">
        <v>578</v>
      </c>
      <c r="M30" s="132">
        <v>192</v>
      </c>
      <c r="N30" s="132">
        <v>165</v>
      </c>
      <c r="O30" s="131">
        <f t="shared" si="0"/>
        <v>7220</v>
      </c>
    </row>
    <row r="31" spans="1:21" ht="13.2">
      <c r="A31" s="128">
        <v>27</v>
      </c>
      <c r="B31" s="128" t="s">
        <v>226</v>
      </c>
      <c r="C31" s="132">
        <v>15</v>
      </c>
      <c r="D31" s="132">
        <v>16</v>
      </c>
      <c r="E31" s="132">
        <v>108</v>
      </c>
      <c r="F31" s="132">
        <v>574</v>
      </c>
      <c r="G31" s="132">
        <v>918</v>
      </c>
      <c r="H31" s="132">
        <v>992</v>
      </c>
      <c r="I31" s="132">
        <v>1024</v>
      </c>
      <c r="J31" s="130">
        <v>750</v>
      </c>
      <c r="K31" s="132">
        <v>598</v>
      </c>
      <c r="L31" s="132">
        <v>477</v>
      </c>
      <c r="M31" s="132">
        <v>206</v>
      </c>
      <c r="N31" s="132">
        <v>61</v>
      </c>
      <c r="O31" s="131">
        <f t="shared" si="0"/>
        <v>5739</v>
      </c>
    </row>
    <row r="32" spans="1:21" ht="13.2">
      <c r="A32" s="128">
        <v>28</v>
      </c>
      <c r="B32" s="128" t="s">
        <v>227</v>
      </c>
      <c r="C32" s="132">
        <v>37</v>
      </c>
      <c r="D32" s="132">
        <v>42</v>
      </c>
      <c r="E32" s="132">
        <v>54</v>
      </c>
      <c r="F32" s="132">
        <v>610</v>
      </c>
      <c r="G32" s="132">
        <v>774</v>
      </c>
      <c r="H32" s="132">
        <v>1356</v>
      </c>
      <c r="I32" s="132">
        <v>1212</v>
      </c>
      <c r="J32" s="130">
        <v>716</v>
      </c>
      <c r="K32" s="132">
        <v>866</v>
      </c>
      <c r="L32" s="132">
        <v>568</v>
      </c>
      <c r="M32" s="132">
        <v>406</v>
      </c>
      <c r="N32" s="132">
        <v>248</v>
      </c>
      <c r="O32" s="131">
        <f t="shared" si="0"/>
        <v>6889</v>
      </c>
    </row>
    <row r="33" spans="1:15" ht="13.2">
      <c r="A33" s="128">
        <v>29</v>
      </c>
      <c r="B33" s="128" t="s">
        <v>228</v>
      </c>
      <c r="C33" s="132">
        <v>22</v>
      </c>
      <c r="D33" s="132">
        <v>76</v>
      </c>
      <c r="E33" s="132">
        <v>149</v>
      </c>
      <c r="F33" s="132">
        <v>554</v>
      </c>
      <c r="G33" s="132">
        <v>805</v>
      </c>
      <c r="H33" s="132">
        <v>1048</v>
      </c>
      <c r="I33" s="132">
        <v>976</v>
      </c>
      <c r="J33" s="130">
        <v>968</v>
      </c>
      <c r="K33" s="132">
        <v>739</v>
      </c>
      <c r="L33" s="132">
        <v>454</v>
      </c>
      <c r="M33" s="132">
        <v>373</v>
      </c>
      <c r="N33" s="132">
        <v>166</v>
      </c>
      <c r="O33" s="131">
        <f t="shared" si="0"/>
        <v>6330</v>
      </c>
    </row>
    <row r="34" spans="1:15" ht="13.2">
      <c r="A34" s="128">
        <v>30</v>
      </c>
      <c r="B34" s="128" t="s">
        <v>229</v>
      </c>
      <c r="C34" s="132">
        <v>47</v>
      </c>
      <c r="D34" s="132">
        <v>16</v>
      </c>
      <c r="E34" s="132">
        <v>240</v>
      </c>
      <c r="F34" s="132">
        <v>361</v>
      </c>
      <c r="G34" s="132">
        <v>856</v>
      </c>
      <c r="H34" s="132">
        <v>1171</v>
      </c>
      <c r="I34" s="132">
        <v>1113</v>
      </c>
      <c r="J34" s="130">
        <v>1205</v>
      </c>
      <c r="K34" s="132">
        <v>873</v>
      </c>
      <c r="L34" s="132">
        <v>473</v>
      </c>
      <c r="M34" s="132">
        <v>364</v>
      </c>
      <c r="N34" s="132">
        <v>65</v>
      </c>
      <c r="O34" s="131">
        <f t="shared" si="0"/>
        <v>6784</v>
      </c>
    </row>
    <row r="35" spans="1:15" ht="12" customHeight="1">
      <c r="A35" s="128"/>
      <c r="B35" s="128"/>
      <c r="C35" s="132"/>
      <c r="D35" s="132"/>
      <c r="E35" s="132"/>
      <c r="F35" s="132"/>
      <c r="G35" s="132"/>
      <c r="H35" s="132"/>
      <c r="I35" s="132"/>
      <c r="J35" s="130"/>
      <c r="K35" s="132"/>
      <c r="L35" s="132"/>
      <c r="M35" s="132"/>
      <c r="N35" s="132"/>
      <c r="O35" s="131"/>
    </row>
    <row r="36" spans="1:15" ht="16.95" customHeight="1">
      <c r="A36" s="128"/>
      <c r="B36" s="133" t="s">
        <v>357</v>
      </c>
      <c r="C36" s="134">
        <f t="shared" ref="C36:N36" si="1">AVERAGE(C5:C34)</f>
        <v>27</v>
      </c>
      <c r="D36" s="134">
        <f t="shared" si="1"/>
        <v>30</v>
      </c>
      <c r="E36" s="134">
        <f t="shared" si="1"/>
        <v>160</v>
      </c>
      <c r="F36" s="134">
        <f t="shared" si="1"/>
        <v>529</v>
      </c>
      <c r="G36" s="134">
        <f t="shared" si="1"/>
        <v>864</v>
      </c>
      <c r="H36" s="134">
        <f t="shared" si="1"/>
        <v>1137</v>
      </c>
      <c r="I36" s="134">
        <f t="shared" si="1"/>
        <v>1105</v>
      </c>
      <c r="J36" s="134">
        <f t="shared" si="1"/>
        <v>914</v>
      </c>
      <c r="K36" s="134">
        <f t="shared" si="1"/>
        <v>772</v>
      </c>
      <c r="L36" s="134">
        <f t="shared" si="1"/>
        <v>542</v>
      </c>
      <c r="M36" s="134">
        <f t="shared" si="1"/>
        <v>304</v>
      </c>
      <c r="N36" s="134">
        <f t="shared" si="1"/>
        <v>136</v>
      </c>
      <c r="O36" s="131">
        <f>SUM(C36:N36)</f>
        <v>6520</v>
      </c>
    </row>
    <row r="37" spans="1:15" ht="12" customHeight="1">
      <c r="A37" s="128"/>
      <c r="B37" s="133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5"/>
    </row>
    <row r="38" spans="1:15" ht="12" customHeight="1">
      <c r="A38" s="42"/>
      <c r="B38" s="46" t="s">
        <v>259</v>
      </c>
      <c r="C38" s="47">
        <v>32</v>
      </c>
      <c r="D38" s="47">
        <v>33</v>
      </c>
      <c r="E38" s="47">
        <v>183</v>
      </c>
      <c r="F38" s="47">
        <v>540</v>
      </c>
      <c r="G38" s="47">
        <v>879</v>
      </c>
      <c r="H38" s="47">
        <v>1167</v>
      </c>
      <c r="I38" s="47">
        <v>1099</v>
      </c>
      <c r="J38" s="47">
        <v>896</v>
      </c>
      <c r="K38" s="47">
        <v>767</v>
      </c>
      <c r="L38" s="47">
        <v>540</v>
      </c>
      <c r="M38" s="47">
        <v>321</v>
      </c>
      <c r="N38" s="47">
        <v>136</v>
      </c>
      <c r="O38" s="45">
        <f>SUM(C38:N38)</f>
        <v>6593</v>
      </c>
    </row>
    <row r="39" spans="1:15" ht="12" customHeight="1">
      <c r="A39" s="42"/>
      <c r="B39" s="46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5"/>
    </row>
    <row r="40" spans="1:15" ht="12" customHeight="1">
      <c r="A40" s="42"/>
      <c r="B40" s="46" t="s">
        <v>235</v>
      </c>
      <c r="C40" s="47">
        <f>C36-C38</f>
        <v>-5</v>
      </c>
      <c r="D40" s="47">
        <f t="shared" ref="D40:N40" si="2">D36-D38</f>
        <v>-3</v>
      </c>
      <c r="E40" s="47">
        <f t="shared" si="2"/>
        <v>-23</v>
      </c>
      <c r="F40" s="47">
        <f t="shared" si="2"/>
        <v>-11</v>
      </c>
      <c r="G40" s="47">
        <f t="shared" si="2"/>
        <v>-15</v>
      </c>
      <c r="H40" s="47">
        <f t="shared" si="2"/>
        <v>-30</v>
      </c>
      <c r="I40" s="47">
        <f t="shared" si="2"/>
        <v>6</v>
      </c>
      <c r="J40" s="47">
        <f t="shared" si="2"/>
        <v>18</v>
      </c>
      <c r="K40" s="47">
        <f t="shared" si="2"/>
        <v>5</v>
      </c>
      <c r="L40" s="47">
        <f t="shared" si="2"/>
        <v>2</v>
      </c>
      <c r="M40" s="47">
        <f t="shared" si="2"/>
        <v>-17</v>
      </c>
      <c r="N40" s="47">
        <f t="shared" si="2"/>
        <v>0</v>
      </c>
      <c r="O40" s="45">
        <f>SUM(C40:N40)</f>
        <v>-73</v>
      </c>
    </row>
    <row r="41" spans="1:15" ht="12" customHeight="1">
      <c r="A41" s="42"/>
      <c r="B41" s="46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5"/>
    </row>
    <row r="42" spans="1:15" ht="12" customHeight="1">
      <c r="A42" s="42"/>
      <c r="B42" s="46" t="s">
        <v>230</v>
      </c>
      <c r="C42" s="44">
        <v>44</v>
      </c>
      <c r="D42" s="44">
        <v>42</v>
      </c>
      <c r="E42" s="44">
        <v>196</v>
      </c>
      <c r="F42" s="44">
        <v>554</v>
      </c>
      <c r="G42" s="44">
        <v>897</v>
      </c>
      <c r="H42" s="44">
        <v>1168</v>
      </c>
      <c r="I42" s="44">
        <v>1169</v>
      </c>
      <c r="J42" s="44">
        <v>916</v>
      </c>
      <c r="K42" s="44">
        <v>790</v>
      </c>
      <c r="L42" s="44">
        <v>557</v>
      </c>
      <c r="M42" s="44">
        <v>338</v>
      </c>
      <c r="N42" s="44">
        <v>149</v>
      </c>
      <c r="O42" s="45">
        <f>SUM(C42:N42)</f>
        <v>6820</v>
      </c>
    </row>
    <row r="43" spans="1:15" ht="12" customHeight="1">
      <c r="A43" s="42"/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</row>
    <row r="44" spans="1:15" ht="12" customHeight="1">
      <c r="A44" s="42"/>
      <c r="B44" s="46" t="s">
        <v>235</v>
      </c>
      <c r="C44" s="47">
        <f t="shared" ref="C44:N44" si="3">C36-C42</f>
        <v>-17</v>
      </c>
      <c r="D44" s="47">
        <f t="shared" si="3"/>
        <v>-12</v>
      </c>
      <c r="E44" s="47">
        <f t="shared" si="3"/>
        <v>-36</v>
      </c>
      <c r="F44" s="47">
        <f t="shared" si="3"/>
        <v>-25</v>
      </c>
      <c r="G44" s="47">
        <f t="shared" si="3"/>
        <v>-33</v>
      </c>
      <c r="H44" s="47">
        <f t="shared" si="3"/>
        <v>-31</v>
      </c>
      <c r="I44" s="47">
        <f t="shared" si="3"/>
        <v>-64</v>
      </c>
      <c r="J44" s="47">
        <f t="shared" si="3"/>
        <v>-2</v>
      </c>
      <c r="K44" s="47">
        <f t="shared" si="3"/>
        <v>-18</v>
      </c>
      <c r="L44" s="47">
        <f t="shared" si="3"/>
        <v>-15</v>
      </c>
      <c r="M44" s="47">
        <f t="shared" si="3"/>
        <v>-34</v>
      </c>
      <c r="N44" s="47">
        <f t="shared" si="3"/>
        <v>-13</v>
      </c>
      <c r="O44" s="45">
        <f>SUM(C44:N44)</f>
        <v>-300</v>
      </c>
    </row>
    <row r="45" spans="1:15" ht="12" customHeight="1">
      <c r="A45" s="42"/>
      <c r="B45" s="46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5"/>
    </row>
    <row r="46" spans="1:15" ht="12" customHeight="1">
      <c r="A46" s="42"/>
      <c r="B46" s="48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5"/>
    </row>
    <row r="48" spans="1:15" ht="12" customHeight="1">
      <c r="B48" s="94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45"/>
    </row>
    <row r="50" spans="3:15" ht="12" customHeight="1"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45"/>
    </row>
  </sheetData>
  <phoneticPr fontId="11" type="noConversion"/>
  <printOptions horizontalCentered="1"/>
  <pageMargins left="0.5" right="0.5" top="0.88" bottom="0.92" header="0.5" footer="0.45"/>
  <pageSetup scale="80" orientation="landscape" r:id="rId1"/>
  <headerFooter alignWithMargins="0">
    <oddHeader>&amp;R&amp;"Times New Roman,Regular"&amp;10Adjustment No. __&amp;U2.10&amp;U__
Workpaper Ref. C-WN-__</oddHeader>
    <oddFooter>&amp;L&amp;"Times New Roman,Regular"file: &amp;F / &amp;A&amp;C&amp;"Times New Roman,Regular"&amp;10Page &amp;P of &amp;N&amp;R&amp;"Times New Roman,Regular"&amp;10Prep by:________  1st Review:________
Date: &amp;D     Mgr. Review:________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26"/>
  <sheetViews>
    <sheetView topLeftCell="A53" workbookViewId="0">
      <selection activeCell="Q37" sqref="Q37"/>
    </sheetView>
  </sheetViews>
  <sheetFormatPr defaultRowHeight="12"/>
  <cols>
    <col min="1" max="1" width="7.125" customWidth="1"/>
    <col min="2" max="2" width="6.125" customWidth="1"/>
    <col min="3" max="3" width="7.875" customWidth="1"/>
    <col min="4" max="4" width="6.25" customWidth="1"/>
    <col min="5" max="5" width="9" style="41"/>
    <col min="6" max="6" width="9.875" style="20" customWidth="1"/>
    <col min="7" max="7" width="9.875" style="168" customWidth="1"/>
    <col min="8" max="11" width="9.875" style="20" customWidth="1"/>
    <col min="12" max="14" width="9.875" style="20" bestFit="1" customWidth="1"/>
    <col min="15" max="17" width="9.875" bestFit="1" customWidth="1"/>
    <col min="18" max="18" width="14.5" customWidth="1"/>
    <col min="19" max="19" width="9" customWidth="1"/>
  </cols>
  <sheetData>
    <row r="1" spans="1:18" ht="13.2">
      <c r="A1" s="126" t="s">
        <v>363</v>
      </c>
      <c r="B1" s="20"/>
      <c r="C1" s="20"/>
      <c r="D1" s="20"/>
      <c r="E1" s="40"/>
      <c r="H1" s="140"/>
      <c r="J1" s="143"/>
      <c r="O1" s="20"/>
      <c r="P1" s="20"/>
      <c r="Q1" s="20"/>
      <c r="R1" s="20"/>
    </row>
    <row r="2" spans="1:18">
      <c r="A2" s="20"/>
      <c r="B2" s="20"/>
      <c r="C2" s="20"/>
      <c r="D2" s="20"/>
      <c r="E2" s="40"/>
      <c r="O2" s="20"/>
      <c r="P2" s="20"/>
      <c r="Q2" s="20"/>
      <c r="R2" s="20"/>
    </row>
    <row r="3" spans="1:18" ht="13.8" thickBot="1">
      <c r="A3" s="21"/>
      <c r="B3" s="22"/>
      <c r="C3" s="22"/>
      <c r="D3" s="23"/>
      <c r="E3" s="24"/>
      <c r="F3" s="170" t="s">
        <v>238</v>
      </c>
      <c r="G3" s="169"/>
      <c r="H3" s="169"/>
      <c r="I3" s="171"/>
      <c r="J3" s="172"/>
      <c r="K3" s="172"/>
      <c r="L3" s="172"/>
      <c r="M3" s="172"/>
      <c r="N3" s="172"/>
      <c r="O3" s="172"/>
      <c r="P3" s="172"/>
      <c r="Q3" s="171"/>
      <c r="R3" s="25"/>
    </row>
    <row r="4" spans="1:18" ht="13.8" thickBot="1">
      <c r="A4" s="26"/>
      <c r="B4" s="27"/>
      <c r="C4" s="27"/>
      <c r="D4" s="28"/>
      <c r="E4" s="29" t="s">
        <v>96</v>
      </c>
      <c r="F4" s="213" t="s">
        <v>348</v>
      </c>
      <c r="G4" s="213" t="s">
        <v>349</v>
      </c>
      <c r="H4" s="213" t="s">
        <v>350</v>
      </c>
      <c r="I4" s="213" t="s">
        <v>351</v>
      </c>
      <c r="J4" s="213" t="s">
        <v>352</v>
      </c>
      <c r="K4" s="213" t="s">
        <v>353</v>
      </c>
      <c r="L4" s="213" t="s">
        <v>354</v>
      </c>
      <c r="M4" s="213" t="s">
        <v>355</v>
      </c>
      <c r="N4" s="213" t="s">
        <v>356</v>
      </c>
      <c r="O4" s="213" t="s">
        <v>360</v>
      </c>
      <c r="P4" s="213" t="s">
        <v>361</v>
      </c>
      <c r="Q4" s="213" t="s">
        <v>364</v>
      </c>
      <c r="R4" s="214" t="s">
        <v>10</v>
      </c>
    </row>
    <row r="5" spans="1:18" ht="25.2" customHeight="1" thickBot="1">
      <c r="A5" s="29" t="s">
        <v>97</v>
      </c>
      <c r="B5" s="30" t="s">
        <v>98</v>
      </c>
      <c r="C5" s="219" t="s">
        <v>99</v>
      </c>
      <c r="D5" s="31" t="s">
        <v>100</v>
      </c>
      <c r="E5" s="39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6"/>
    </row>
    <row r="6" spans="1:18" ht="13.8" thickBot="1">
      <c r="A6" s="32" t="s">
        <v>164</v>
      </c>
      <c r="B6" s="33" t="s">
        <v>101</v>
      </c>
      <c r="C6" s="34" t="s">
        <v>317</v>
      </c>
      <c r="D6" s="31" t="s">
        <v>102</v>
      </c>
      <c r="E6" s="39" t="s">
        <v>64</v>
      </c>
      <c r="F6" s="211">
        <v>73978</v>
      </c>
      <c r="G6" s="211">
        <v>74058</v>
      </c>
      <c r="H6" s="211">
        <v>74133</v>
      </c>
      <c r="I6" s="211">
        <v>74203</v>
      </c>
      <c r="J6" s="211">
        <v>74237</v>
      </c>
      <c r="K6" s="211">
        <v>74308</v>
      </c>
      <c r="L6" s="211">
        <v>74483</v>
      </c>
      <c r="M6" s="211">
        <v>74741</v>
      </c>
      <c r="N6" s="211">
        <v>74775</v>
      </c>
      <c r="O6" s="211">
        <v>75296</v>
      </c>
      <c r="P6" s="211">
        <v>75505</v>
      </c>
      <c r="Q6" s="211">
        <v>75681</v>
      </c>
      <c r="R6" s="217">
        <v>895398</v>
      </c>
    </row>
    <row r="7" spans="1:18" ht="13.8" thickBot="1">
      <c r="A7" s="35"/>
      <c r="B7" s="36"/>
      <c r="C7" s="37"/>
      <c r="D7" s="31" t="s">
        <v>103</v>
      </c>
      <c r="E7" s="39" t="s">
        <v>65</v>
      </c>
      <c r="F7" s="211">
        <v>7625</v>
      </c>
      <c r="G7" s="211">
        <v>7628</v>
      </c>
      <c r="H7" s="211">
        <v>7604</v>
      </c>
      <c r="I7" s="211">
        <v>7629</v>
      </c>
      <c r="J7" s="211">
        <v>7611</v>
      </c>
      <c r="K7" s="211">
        <v>7638</v>
      </c>
      <c r="L7" s="211">
        <v>7624</v>
      </c>
      <c r="M7" s="211">
        <v>7606</v>
      </c>
      <c r="N7" s="211">
        <v>7528</v>
      </c>
      <c r="O7" s="211">
        <v>7712</v>
      </c>
      <c r="P7" s="211">
        <v>7663</v>
      </c>
      <c r="Q7" s="211">
        <v>7634</v>
      </c>
      <c r="R7" s="217">
        <v>91502</v>
      </c>
    </row>
    <row r="8" spans="1:18" ht="13.8" thickBot="1">
      <c r="A8" s="35"/>
      <c r="B8" s="36"/>
      <c r="C8" s="37"/>
      <c r="D8" s="31" t="s">
        <v>105</v>
      </c>
      <c r="E8" s="39" t="s">
        <v>66</v>
      </c>
      <c r="F8" s="211">
        <v>55</v>
      </c>
      <c r="G8" s="211">
        <v>55</v>
      </c>
      <c r="H8" s="211">
        <v>53</v>
      </c>
      <c r="I8" s="211">
        <v>54</v>
      </c>
      <c r="J8" s="211">
        <v>54</v>
      </c>
      <c r="K8" s="211">
        <v>54</v>
      </c>
      <c r="L8" s="211">
        <v>52</v>
      </c>
      <c r="M8" s="211">
        <v>56</v>
      </c>
      <c r="N8" s="211">
        <v>53</v>
      </c>
      <c r="O8" s="211">
        <v>55</v>
      </c>
      <c r="P8" s="211">
        <v>54</v>
      </c>
      <c r="Q8" s="211">
        <v>54</v>
      </c>
      <c r="R8" s="217">
        <v>649</v>
      </c>
    </row>
    <row r="9" spans="1:18" ht="13.8" thickBot="1">
      <c r="A9" s="35"/>
      <c r="B9" s="36"/>
      <c r="C9" s="37"/>
      <c r="D9" s="31" t="s">
        <v>104</v>
      </c>
      <c r="E9" s="39"/>
      <c r="F9" s="211">
        <v>5</v>
      </c>
      <c r="G9" s="211">
        <v>5</v>
      </c>
      <c r="H9" s="211">
        <v>5</v>
      </c>
      <c r="I9" s="211">
        <v>5</v>
      </c>
      <c r="J9" s="211">
        <v>5</v>
      </c>
      <c r="K9" s="211">
        <v>5</v>
      </c>
      <c r="L9" s="211">
        <v>5</v>
      </c>
      <c r="M9" s="211">
        <v>5</v>
      </c>
      <c r="N9" s="211">
        <v>5</v>
      </c>
      <c r="O9" s="211">
        <v>5</v>
      </c>
      <c r="P9" s="211">
        <v>5</v>
      </c>
      <c r="Q9" s="211">
        <v>5</v>
      </c>
      <c r="R9" s="217">
        <v>60</v>
      </c>
    </row>
    <row r="10" spans="1:18" ht="13.8" thickBot="1">
      <c r="A10" s="35"/>
      <c r="B10" s="36"/>
      <c r="C10" s="38"/>
      <c r="D10" s="208" t="s">
        <v>325</v>
      </c>
      <c r="E10" s="39" t="s">
        <v>67</v>
      </c>
      <c r="F10" s="212">
        <v>81663</v>
      </c>
      <c r="G10" s="212">
        <v>81746</v>
      </c>
      <c r="H10" s="212">
        <v>81795</v>
      </c>
      <c r="I10" s="212">
        <v>81891</v>
      </c>
      <c r="J10" s="212">
        <v>81907</v>
      </c>
      <c r="K10" s="212">
        <v>82005</v>
      </c>
      <c r="L10" s="212">
        <v>82164</v>
      </c>
      <c r="M10" s="212">
        <v>82408</v>
      </c>
      <c r="N10" s="212">
        <v>82361</v>
      </c>
      <c r="O10" s="212">
        <v>83068</v>
      </c>
      <c r="P10" s="212">
        <v>83227</v>
      </c>
      <c r="Q10" s="212">
        <v>83374</v>
      </c>
      <c r="R10" s="212">
        <v>987609</v>
      </c>
    </row>
    <row r="11" spans="1:18" ht="13.8" thickBot="1">
      <c r="A11" s="35"/>
      <c r="B11" s="36"/>
      <c r="C11" s="34" t="s">
        <v>318</v>
      </c>
      <c r="D11" s="31" t="s">
        <v>102</v>
      </c>
      <c r="E11" s="39" t="s">
        <v>68</v>
      </c>
      <c r="F11" s="211">
        <v>106</v>
      </c>
      <c r="G11" s="211">
        <v>108</v>
      </c>
      <c r="H11" s="211">
        <v>108</v>
      </c>
      <c r="I11" s="211">
        <v>107</v>
      </c>
      <c r="J11" s="211">
        <v>109</v>
      </c>
      <c r="K11" s="211">
        <v>109</v>
      </c>
      <c r="L11" s="211">
        <v>110</v>
      </c>
      <c r="M11" s="211">
        <v>109</v>
      </c>
      <c r="N11" s="211">
        <v>108</v>
      </c>
      <c r="O11" s="211">
        <v>110</v>
      </c>
      <c r="P11" s="211">
        <v>111</v>
      </c>
      <c r="Q11" s="211">
        <v>111</v>
      </c>
      <c r="R11" s="217">
        <v>1306</v>
      </c>
    </row>
    <row r="12" spans="1:18" ht="13.8" thickBot="1">
      <c r="A12" s="35"/>
      <c r="B12" s="36"/>
      <c r="C12" s="37"/>
      <c r="D12" s="31" t="s">
        <v>103</v>
      </c>
      <c r="E12" s="39" t="s">
        <v>69</v>
      </c>
      <c r="F12" s="211">
        <v>1306</v>
      </c>
      <c r="G12" s="211">
        <v>1325</v>
      </c>
      <c r="H12" s="211">
        <v>1332</v>
      </c>
      <c r="I12" s="211">
        <v>1342</v>
      </c>
      <c r="J12" s="211">
        <v>1351</v>
      </c>
      <c r="K12" s="211">
        <v>1352</v>
      </c>
      <c r="L12" s="211">
        <v>1348</v>
      </c>
      <c r="M12" s="211">
        <v>1338</v>
      </c>
      <c r="N12" s="211">
        <v>1347</v>
      </c>
      <c r="O12" s="211">
        <v>1360</v>
      </c>
      <c r="P12" s="211">
        <v>1346</v>
      </c>
      <c r="Q12" s="211">
        <v>1350</v>
      </c>
      <c r="R12" s="217">
        <v>16097</v>
      </c>
    </row>
    <row r="13" spans="1:18" ht="13.8" thickBot="1">
      <c r="A13" s="35"/>
      <c r="B13" s="36"/>
      <c r="C13" s="37"/>
      <c r="D13" s="31" t="s">
        <v>105</v>
      </c>
      <c r="E13" s="39" t="s">
        <v>70</v>
      </c>
      <c r="F13" s="211">
        <v>36</v>
      </c>
      <c r="G13" s="211">
        <v>36</v>
      </c>
      <c r="H13" s="211">
        <v>36</v>
      </c>
      <c r="I13" s="211">
        <v>36</v>
      </c>
      <c r="J13" s="211">
        <v>37</v>
      </c>
      <c r="K13" s="211">
        <v>36</v>
      </c>
      <c r="L13" s="211">
        <v>36</v>
      </c>
      <c r="M13" s="211">
        <v>36</v>
      </c>
      <c r="N13" s="211">
        <v>35</v>
      </c>
      <c r="O13" s="211">
        <v>37</v>
      </c>
      <c r="P13" s="211">
        <v>36</v>
      </c>
      <c r="Q13" s="211">
        <v>36</v>
      </c>
      <c r="R13" s="217">
        <v>433</v>
      </c>
    </row>
    <row r="14" spans="1:18" ht="13.8" thickBot="1">
      <c r="A14" s="35"/>
      <c r="B14" s="36"/>
      <c r="C14" s="37"/>
      <c r="D14" s="31" t="s">
        <v>104</v>
      </c>
      <c r="E14" s="39"/>
      <c r="F14" s="211">
        <v>4</v>
      </c>
      <c r="G14" s="211">
        <v>4</v>
      </c>
      <c r="H14" s="211">
        <v>4</v>
      </c>
      <c r="I14" s="211">
        <v>4</v>
      </c>
      <c r="J14" s="211">
        <v>4</v>
      </c>
      <c r="K14" s="211">
        <v>4</v>
      </c>
      <c r="L14" s="211">
        <v>4</v>
      </c>
      <c r="M14" s="211">
        <v>4</v>
      </c>
      <c r="N14" s="211">
        <v>4</v>
      </c>
      <c r="O14" s="211">
        <v>4</v>
      </c>
      <c r="P14" s="211">
        <v>4</v>
      </c>
      <c r="Q14" s="211">
        <v>4</v>
      </c>
      <c r="R14" s="217">
        <v>48</v>
      </c>
    </row>
    <row r="15" spans="1:18" ht="13.8" thickBot="1">
      <c r="A15" s="35"/>
      <c r="B15" s="36"/>
      <c r="C15" s="38"/>
      <c r="D15" s="208" t="s">
        <v>326</v>
      </c>
      <c r="E15" s="39" t="s">
        <v>165</v>
      </c>
      <c r="F15" s="212">
        <v>1452</v>
      </c>
      <c r="G15" s="212">
        <v>1473</v>
      </c>
      <c r="H15" s="212">
        <v>1480</v>
      </c>
      <c r="I15" s="212">
        <v>1489</v>
      </c>
      <c r="J15" s="212">
        <v>1501</v>
      </c>
      <c r="K15" s="212">
        <v>1501</v>
      </c>
      <c r="L15" s="212">
        <v>1498</v>
      </c>
      <c r="M15" s="212">
        <v>1487</v>
      </c>
      <c r="N15" s="212">
        <v>1494</v>
      </c>
      <c r="O15" s="212">
        <v>1511</v>
      </c>
      <c r="P15" s="212">
        <v>1497</v>
      </c>
      <c r="Q15" s="212">
        <v>1501</v>
      </c>
      <c r="R15" s="212">
        <v>17884</v>
      </c>
    </row>
    <row r="16" spans="1:18" ht="13.8" thickBot="1">
      <c r="A16" s="35"/>
      <c r="B16" s="36"/>
      <c r="C16" s="34" t="s">
        <v>333</v>
      </c>
      <c r="D16" s="31" t="s">
        <v>105</v>
      </c>
      <c r="E16" s="39" t="s">
        <v>70</v>
      </c>
      <c r="F16" s="211">
        <v>2</v>
      </c>
      <c r="G16" s="211">
        <v>2</v>
      </c>
      <c r="H16" s="211">
        <v>2</v>
      </c>
      <c r="I16" s="211">
        <v>2</v>
      </c>
      <c r="J16" s="211">
        <v>2</v>
      </c>
      <c r="K16" s="211">
        <v>2</v>
      </c>
      <c r="L16" s="211">
        <v>2</v>
      </c>
      <c r="M16" s="211">
        <v>2</v>
      </c>
      <c r="N16" s="211">
        <v>2</v>
      </c>
      <c r="O16" s="211">
        <v>2</v>
      </c>
      <c r="P16" s="211">
        <v>2</v>
      </c>
      <c r="Q16" s="211">
        <v>2</v>
      </c>
      <c r="R16" s="217">
        <v>24</v>
      </c>
    </row>
    <row r="17" spans="1:18" ht="13.8" thickBot="1">
      <c r="A17" s="35"/>
      <c r="B17" s="36"/>
      <c r="C17" s="38"/>
      <c r="D17" s="208" t="s">
        <v>334</v>
      </c>
      <c r="E17" s="39" t="s">
        <v>165</v>
      </c>
      <c r="F17" s="212">
        <v>2</v>
      </c>
      <c r="G17" s="212">
        <v>2</v>
      </c>
      <c r="H17" s="212">
        <v>2</v>
      </c>
      <c r="I17" s="212">
        <v>2</v>
      </c>
      <c r="J17" s="212">
        <v>2</v>
      </c>
      <c r="K17" s="212">
        <v>2</v>
      </c>
      <c r="L17" s="212">
        <v>2</v>
      </c>
      <c r="M17" s="212">
        <v>2</v>
      </c>
      <c r="N17" s="212">
        <v>2</v>
      </c>
      <c r="O17" s="212">
        <v>2</v>
      </c>
      <c r="P17" s="212">
        <v>2</v>
      </c>
      <c r="Q17" s="212">
        <v>2</v>
      </c>
      <c r="R17" s="212">
        <v>24</v>
      </c>
    </row>
    <row r="18" spans="1:18" ht="13.8" thickBot="1">
      <c r="A18" s="35"/>
      <c r="B18" s="36"/>
      <c r="C18" s="34" t="s">
        <v>322</v>
      </c>
      <c r="D18" s="31" t="s">
        <v>168</v>
      </c>
      <c r="E18" s="39"/>
      <c r="F18" s="211">
        <v>3</v>
      </c>
      <c r="G18" s="211">
        <v>3</v>
      </c>
      <c r="H18" s="211">
        <v>3</v>
      </c>
      <c r="I18" s="211">
        <v>3</v>
      </c>
      <c r="J18" s="211">
        <v>3</v>
      </c>
      <c r="K18" s="211">
        <v>3</v>
      </c>
      <c r="L18" s="211">
        <v>3</v>
      </c>
      <c r="M18" s="211">
        <v>3</v>
      </c>
      <c r="N18" s="211">
        <v>3</v>
      </c>
      <c r="O18" s="211">
        <v>3</v>
      </c>
      <c r="P18" s="211">
        <v>3</v>
      </c>
      <c r="Q18" s="211">
        <v>3</v>
      </c>
      <c r="R18" s="217">
        <v>36</v>
      </c>
    </row>
    <row r="19" spans="1:18" ht="13.8" thickBot="1">
      <c r="A19" s="35"/>
      <c r="B19" s="36"/>
      <c r="C19" s="37"/>
      <c r="D19" s="31" t="s">
        <v>172</v>
      </c>
      <c r="E19" s="39"/>
      <c r="F19" s="211">
        <v>3</v>
      </c>
      <c r="G19" s="211">
        <v>3</v>
      </c>
      <c r="H19" s="211">
        <v>3</v>
      </c>
      <c r="I19" s="211">
        <v>3</v>
      </c>
      <c r="J19" s="211">
        <v>3</v>
      </c>
      <c r="K19" s="211">
        <v>3</v>
      </c>
      <c r="L19" s="211">
        <v>3</v>
      </c>
      <c r="M19" s="211">
        <v>3</v>
      </c>
      <c r="N19" s="211">
        <v>3</v>
      </c>
      <c r="O19" s="211">
        <v>3</v>
      </c>
      <c r="P19" s="211">
        <v>3</v>
      </c>
      <c r="Q19" s="211">
        <v>3</v>
      </c>
      <c r="R19" s="217">
        <v>36</v>
      </c>
    </row>
    <row r="20" spans="1:18" ht="13.8" thickBot="1">
      <c r="A20" s="35"/>
      <c r="B20" s="36"/>
      <c r="C20" s="38"/>
      <c r="D20" s="208" t="s">
        <v>330</v>
      </c>
      <c r="E20" s="39"/>
      <c r="F20" s="212">
        <v>6</v>
      </c>
      <c r="G20" s="212">
        <v>6</v>
      </c>
      <c r="H20" s="212">
        <v>6</v>
      </c>
      <c r="I20" s="212">
        <v>6</v>
      </c>
      <c r="J20" s="212">
        <v>6</v>
      </c>
      <c r="K20" s="212">
        <v>6</v>
      </c>
      <c r="L20" s="212">
        <v>6</v>
      </c>
      <c r="M20" s="212">
        <v>6</v>
      </c>
      <c r="N20" s="212">
        <v>6</v>
      </c>
      <c r="O20" s="212">
        <v>6</v>
      </c>
      <c r="P20" s="212">
        <v>6</v>
      </c>
      <c r="Q20" s="212">
        <v>6</v>
      </c>
      <c r="R20" s="212">
        <v>72</v>
      </c>
    </row>
    <row r="21" spans="1:18" ht="13.8" thickBot="1">
      <c r="A21" s="35"/>
      <c r="B21" s="36"/>
      <c r="C21" s="34" t="s">
        <v>323</v>
      </c>
      <c r="D21" s="31" t="s">
        <v>172</v>
      </c>
      <c r="E21" s="39"/>
      <c r="F21" s="211">
        <v>1</v>
      </c>
      <c r="G21" s="211">
        <v>1</v>
      </c>
      <c r="H21" s="211">
        <v>1</v>
      </c>
      <c r="I21" s="211">
        <v>1</v>
      </c>
      <c r="J21" s="211">
        <v>1</v>
      </c>
      <c r="K21" s="211">
        <v>1</v>
      </c>
      <c r="L21" s="211">
        <v>1</v>
      </c>
      <c r="M21" s="211">
        <v>1</v>
      </c>
      <c r="N21" s="211">
        <v>1</v>
      </c>
      <c r="O21" s="211">
        <v>1</v>
      </c>
      <c r="P21" s="211">
        <v>1</v>
      </c>
      <c r="Q21" s="211">
        <v>1</v>
      </c>
      <c r="R21" s="217">
        <v>12</v>
      </c>
    </row>
    <row r="22" spans="1:18" ht="13.8" thickBot="1">
      <c r="A22" s="35"/>
      <c r="B22" s="36"/>
      <c r="C22" s="38"/>
      <c r="D22" s="208" t="s">
        <v>331</v>
      </c>
      <c r="E22" s="39"/>
      <c r="F22" s="212">
        <v>1</v>
      </c>
      <c r="G22" s="212">
        <v>1</v>
      </c>
      <c r="H22" s="212">
        <v>1</v>
      </c>
      <c r="I22" s="212">
        <v>1</v>
      </c>
      <c r="J22" s="212">
        <v>1</v>
      </c>
      <c r="K22" s="212">
        <v>1</v>
      </c>
      <c r="L22" s="212">
        <v>1</v>
      </c>
      <c r="M22" s="212">
        <v>1</v>
      </c>
      <c r="N22" s="212">
        <v>1</v>
      </c>
      <c r="O22" s="212">
        <v>1</v>
      </c>
      <c r="P22" s="212">
        <v>1</v>
      </c>
      <c r="Q22" s="212">
        <v>1</v>
      </c>
      <c r="R22" s="212">
        <v>12</v>
      </c>
    </row>
    <row r="23" spans="1:18" ht="13.8" thickBot="1">
      <c r="A23" s="35"/>
      <c r="B23" s="36"/>
      <c r="C23" s="34" t="s">
        <v>335</v>
      </c>
      <c r="D23" s="31" t="s">
        <v>172</v>
      </c>
      <c r="E23" s="39"/>
      <c r="F23" s="211">
        <v>1</v>
      </c>
      <c r="G23" s="211">
        <v>1</v>
      </c>
      <c r="H23" s="211">
        <v>1</v>
      </c>
      <c r="I23" s="211">
        <v>1</v>
      </c>
      <c r="J23" s="211">
        <v>1</v>
      </c>
      <c r="K23" s="211">
        <v>1</v>
      </c>
      <c r="L23" s="211">
        <v>1</v>
      </c>
      <c r="M23" s="211">
        <v>1</v>
      </c>
      <c r="N23" s="211">
        <v>1</v>
      </c>
      <c r="O23" s="211">
        <v>1</v>
      </c>
      <c r="P23" s="211">
        <v>1</v>
      </c>
      <c r="Q23" s="211">
        <v>1</v>
      </c>
      <c r="R23" s="217">
        <v>12</v>
      </c>
    </row>
    <row r="24" spans="1:18" ht="13.8" thickBot="1">
      <c r="A24" s="35"/>
      <c r="B24" s="36"/>
      <c r="C24" s="38"/>
      <c r="D24" s="208" t="s">
        <v>336</v>
      </c>
      <c r="E24" s="39"/>
      <c r="F24" s="212">
        <v>1</v>
      </c>
      <c r="G24" s="212">
        <v>1</v>
      </c>
      <c r="H24" s="212">
        <v>1</v>
      </c>
      <c r="I24" s="212">
        <v>1</v>
      </c>
      <c r="J24" s="212">
        <v>1</v>
      </c>
      <c r="K24" s="212">
        <v>1</v>
      </c>
      <c r="L24" s="212">
        <v>1</v>
      </c>
      <c r="M24" s="212">
        <v>1</v>
      </c>
      <c r="N24" s="212">
        <v>1</v>
      </c>
      <c r="O24" s="212">
        <v>1</v>
      </c>
      <c r="P24" s="212">
        <v>1</v>
      </c>
      <c r="Q24" s="212">
        <v>1</v>
      </c>
      <c r="R24" s="212">
        <v>12</v>
      </c>
    </row>
    <row r="25" spans="1:18" ht="13.8" thickBot="1">
      <c r="A25" s="35"/>
      <c r="B25" s="33" t="s">
        <v>106</v>
      </c>
      <c r="C25" s="34" t="s">
        <v>317</v>
      </c>
      <c r="D25" s="31" t="s">
        <v>102</v>
      </c>
      <c r="E25" s="39" t="s">
        <v>55</v>
      </c>
      <c r="F25" s="211">
        <v>148217</v>
      </c>
      <c r="G25" s="211">
        <v>148086</v>
      </c>
      <c r="H25" s="211">
        <v>148943</v>
      </c>
      <c r="I25" s="211">
        <v>148724</v>
      </c>
      <c r="J25" s="211">
        <v>149066</v>
      </c>
      <c r="K25" s="211">
        <v>148972</v>
      </c>
      <c r="L25" s="211">
        <v>149318</v>
      </c>
      <c r="M25" s="211">
        <v>149619</v>
      </c>
      <c r="N25" s="211">
        <v>148423</v>
      </c>
      <c r="O25" s="211">
        <v>151997</v>
      </c>
      <c r="P25" s="211">
        <v>151042</v>
      </c>
      <c r="Q25" s="211">
        <v>151508</v>
      </c>
      <c r="R25" s="217">
        <v>1793915</v>
      </c>
    </row>
    <row r="26" spans="1:18" ht="13.8" thickBot="1">
      <c r="A26" s="35"/>
      <c r="B26" s="36"/>
      <c r="C26" s="37"/>
      <c r="D26" s="31" t="s">
        <v>103</v>
      </c>
      <c r="E26" s="39" t="s">
        <v>56</v>
      </c>
      <c r="F26" s="211">
        <v>12105</v>
      </c>
      <c r="G26" s="211">
        <v>12009</v>
      </c>
      <c r="H26" s="211">
        <v>12000</v>
      </c>
      <c r="I26" s="211">
        <v>11933</v>
      </c>
      <c r="J26" s="211">
        <v>12033</v>
      </c>
      <c r="K26" s="211">
        <v>12004</v>
      </c>
      <c r="L26" s="211">
        <v>12003</v>
      </c>
      <c r="M26" s="211">
        <v>12011</v>
      </c>
      <c r="N26" s="211">
        <v>11705</v>
      </c>
      <c r="O26" s="211">
        <v>12338</v>
      </c>
      <c r="P26" s="211">
        <v>12078</v>
      </c>
      <c r="Q26" s="211">
        <v>12077</v>
      </c>
      <c r="R26" s="217">
        <v>144296</v>
      </c>
    </row>
    <row r="27" spans="1:18" ht="13.8" thickBot="1">
      <c r="A27" s="35"/>
      <c r="B27" s="36"/>
      <c r="C27" s="37"/>
      <c r="D27" s="31" t="s">
        <v>105</v>
      </c>
      <c r="E27" s="39" t="s">
        <v>57</v>
      </c>
      <c r="F27" s="211">
        <v>77</v>
      </c>
      <c r="G27" s="211">
        <v>73</v>
      </c>
      <c r="H27" s="211">
        <v>72</v>
      </c>
      <c r="I27" s="211">
        <v>71</v>
      </c>
      <c r="J27" s="211">
        <v>71</v>
      </c>
      <c r="K27" s="211">
        <v>72</v>
      </c>
      <c r="L27" s="211">
        <v>71</v>
      </c>
      <c r="M27" s="211">
        <v>72</v>
      </c>
      <c r="N27" s="211">
        <v>69</v>
      </c>
      <c r="O27" s="211">
        <v>75</v>
      </c>
      <c r="P27" s="211">
        <v>71</v>
      </c>
      <c r="Q27" s="211">
        <v>72</v>
      </c>
      <c r="R27" s="217">
        <v>866</v>
      </c>
    </row>
    <row r="28" spans="1:18" ht="13.8" thickBot="1">
      <c r="A28" s="35"/>
      <c r="B28" s="36"/>
      <c r="C28" s="37"/>
      <c r="D28" s="31" t="s">
        <v>104</v>
      </c>
      <c r="E28" s="39"/>
      <c r="F28" s="211">
        <v>27</v>
      </c>
      <c r="G28" s="211">
        <v>26</v>
      </c>
      <c r="H28" s="211">
        <v>27</v>
      </c>
      <c r="I28" s="211">
        <v>26</v>
      </c>
      <c r="J28" s="211">
        <v>25</v>
      </c>
      <c r="K28" s="211">
        <v>25</v>
      </c>
      <c r="L28" s="211">
        <v>25</v>
      </c>
      <c r="M28" s="211">
        <v>28</v>
      </c>
      <c r="N28" s="211">
        <v>28</v>
      </c>
      <c r="O28" s="211">
        <v>28</v>
      </c>
      <c r="P28" s="211">
        <v>28</v>
      </c>
      <c r="Q28" s="211">
        <v>26</v>
      </c>
      <c r="R28" s="217">
        <v>319</v>
      </c>
    </row>
    <row r="29" spans="1:18" ht="13.8" thickBot="1">
      <c r="A29" s="35"/>
      <c r="B29" s="36"/>
      <c r="C29" s="38"/>
      <c r="D29" s="208" t="s">
        <v>325</v>
      </c>
      <c r="E29" s="39" t="s">
        <v>58</v>
      </c>
      <c r="F29" s="212">
        <v>160426</v>
      </c>
      <c r="G29" s="212">
        <v>160194</v>
      </c>
      <c r="H29" s="212">
        <v>161042</v>
      </c>
      <c r="I29" s="212">
        <v>160754</v>
      </c>
      <c r="J29" s="212">
        <v>161195</v>
      </c>
      <c r="K29" s="212">
        <v>161073</v>
      </c>
      <c r="L29" s="212">
        <v>161417</v>
      </c>
      <c r="M29" s="212">
        <v>161730</v>
      </c>
      <c r="N29" s="212">
        <v>160225</v>
      </c>
      <c r="O29" s="212">
        <v>164438</v>
      </c>
      <c r="P29" s="212">
        <v>163219</v>
      </c>
      <c r="Q29" s="212">
        <v>163683</v>
      </c>
      <c r="R29" s="212">
        <v>1939396</v>
      </c>
    </row>
    <row r="30" spans="1:18" ht="13.8" thickBot="1">
      <c r="A30" s="35"/>
      <c r="B30" s="36"/>
      <c r="C30" s="34" t="s">
        <v>312</v>
      </c>
      <c r="D30" s="31" t="s">
        <v>102</v>
      </c>
      <c r="E30" s="39" t="s">
        <v>55</v>
      </c>
      <c r="F30" s="211">
        <v>185</v>
      </c>
      <c r="G30" s="211">
        <v>184</v>
      </c>
      <c r="H30" s="211">
        <v>186</v>
      </c>
      <c r="I30" s="211">
        <v>181</v>
      </c>
      <c r="J30" s="211">
        <v>176</v>
      </c>
      <c r="K30" s="211">
        <v>174</v>
      </c>
      <c r="L30" s="211">
        <v>171</v>
      </c>
      <c r="M30" s="211">
        <v>170</v>
      </c>
      <c r="N30" s="211">
        <v>170</v>
      </c>
      <c r="O30" s="211">
        <v>168</v>
      </c>
      <c r="P30" s="211">
        <v>167</v>
      </c>
      <c r="Q30" s="211">
        <v>167</v>
      </c>
      <c r="R30" s="217">
        <v>2099</v>
      </c>
    </row>
    <row r="31" spans="1:18" ht="13.8" thickBot="1">
      <c r="A31" s="35"/>
      <c r="B31" s="36"/>
      <c r="C31" s="38"/>
      <c r="D31" s="208" t="s">
        <v>313</v>
      </c>
      <c r="E31" s="39" t="s">
        <v>58</v>
      </c>
      <c r="F31" s="212">
        <v>185</v>
      </c>
      <c r="G31" s="212">
        <v>184</v>
      </c>
      <c r="H31" s="212">
        <v>186</v>
      </c>
      <c r="I31" s="212">
        <v>181</v>
      </c>
      <c r="J31" s="212">
        <v>176</v>
      </c>
      <c r="K31" s="212">
        <v>174</v>
      </c>
      <c r="L31" s="212">
        <v>171</v>
      </c>
      <c r="M31" s="212">
        <v>170</v>
      </c>
      <c r="N31" s="212">
        <v>170</v>
      </c>
      <c r="O31" s="212">
        <v>168</v>
      </c>
      <c r="P31" s="212">
        <v>167</v>
      </c>
      <c r="Q31" s="212">
        <v>167</v>
      </c>
      <c r="R31" s="212">
        <v>2099</v>
      </c>
    </row>
    <row r="32" spans="1:18" ht="13.8" thickBot="1">
      <c r="A32" s="35"/>
      <c r="B32" s="36"/>
      <c r="C32" s="34" t="s">
        <v>318</v>
      </c>
      <c r="D32" s="31" t="s">
        <v>102</v>
      </c>
      <c r="E32" s="39" t="s">
        <v>59</v>
      </c>
      <c r="F32" s="211">
        <v>290</v>
      </c>
      <c r="G32" s="211">
        <v>282</v>
      </c>
      <c r="H32" s="211">
        <v>287</v>
      </c>
      <c r="I32" s="211">
        <v>285</v>
      </c>
      <c r="J32" s="211">
        <v>284</v>
      </c>
      <c r="K32" s="211">
        <v>283</v>
      </c>
      <c r="L32" s="211">
        <v>285</v>
      </c>
      <c r="M32" s="211">
        <v>284</v>
      </c>
      <c r="N32" s="211">
        <v>283</v>
      </c>
      <c r="O32" s="211">
        <v>295</v>
      </c>
      <c r="P32" s="211">
        <v>292</v>
      </c>
      <c r="Q32" s="211">
        <v>301</v>
      </c>
      <c r="R32" s="217">
        <v>3451</v>
      </c>
    </row>
    <row r="33" spans="1:18" ht="13.8" thickBot="1">
      <c r="A33" s="35"/>
      <c r="B33" s="36"/>
      <c r="C33" s="37"/>
      <c r="D33" s="31" t="s">
        <v>103</v>
      </c>
      <c r="E33" s="39" t="s">
        <v>60</v>
      </c>
      <c r="F33" s="211">
        <v>2638</v>
      </c>
      <c r="G33" s="211">
        <v>2661</v>
      </c>
      <c r="H33" s="211">
        <v>2713</v>
      </c>
      <c r="I33" s="211">
        <v>2703</v>
      </c>
      <c r="J33" s="211">
        <v>2683</v>
      </c>
      <c r="K33" s="211">
        <v>2708</v>
      </c>
      <c r="L33" s="211">
        <v>2695</v>
      </c>
      <c r="M33" s="211">
        <v>2690</v>
      </c>
      <c r="N33" s="211">
        <v>2626</v>
      </c>
      <c r="O33" s="211">
        <v>2754</v>
      </c>
      <c r="P33" s="211">
        <v>2692</v>
      </c>
      <c r="Q33" s="218">
        <f>3265-534</f>
        <v>2731</v>
      </c>
      <c r="R33" s="217">
        <v>32828</v>
      </c>
    </row>
    <row r="34" spans="1:18" ht="13.8" thickBot="1">
      <c r="A34" s="35"/>
      <c r="B34" s="36"/>
      <c r="C34" s="37"/>
      <c r="D34" s="31" t="s">
        <v>105</v>
      </c>
      <c r="E34" s="39" t="s">
        <v>61</v>
      </c>
      <c r="F34" s="211">
        <v>54</v>
      </c>
      <c r="G34" s="211">
        <v>53</v>
      </c>
      <c r="H34" s="211">
        <v>55</v>
      </c>
      <c r="I34" s="211">
        <v>55</v>
      </c>
      <c r="J34" s="211">
        <v>55</v>
      </c>
      <c r="K34" s="211">
        <v>54</v>
      </c>
      <c r="L34" s="211">
        <v>56</v>
      </c>
      <c r="M34" s="211">
        <v>55</v>
      </c>
      <c r="N34" s="211">
        <v>50</v>
      </c>
      <c r="O34" s="211">
        <v>56</v>
      </c>
      <c r="P34" s="211">
        <v>54</v>
      </c>
      <c r="Q34" s="218">
        <f>132-76</f>
        <v>56</v>
      </c>
      <c r="R34" s="217">
        <v>729</v>
      </c>
    </row>
    <row r="35" spans="1:18" ht="13.8" thickBot="1">
      <c r="A35" s="35"/>
      <c r="B35" s="36"/>
      <c r="C35" s="37"/>
      <c r="D35" s="31" t="s">
        <v>104</v>
      </c>
      <c r="E35" s="39"/>
      <c r="F35" s="211">
        <v>17</v>
      </c>
      <c r="G35" s="211">
        <v>17</v>
      </c>
      <c r="H35" s="211">
        <v>18</v>
      </c>
      <c r="I35" s="211">
        <v>19</v>
      </c>
      <c r="J35" s="211">
        <v>20</v>
      </c>
      <c r="K35" s="211">
        <v>20</v>
      </c>
      <c r="L35" s="211">
        <v>18</v>
      </c>
      <c r="M35" s="211">
        <v>16</v>
      </c>
      <c r="N35" s="211">
        <v>16</v>
      </c>
      <c r="O35" s="211">
        <v>16</v>
      </c>
      <c r="P35" s="211">
        <v>16</v>
      </c>
      <c r="Q35" s="211">
        <v>18</v>
      </c>
      <c r="R35" s="217">
        <v>211</v>
      </c>
    </row>
    <row r="36" spans="1:18" ht="13.8" thickBot="1">
      <c r="A36" s="35"/>
      <c r="B36" s="36"/>
      <c r="C36" s="38"/>
      <c r="D36" s="208" t="s">
        <v>326</v>
      </c>
      <c r="E36" s="39" t="s">
        <v>173</v>
      </c>
      <c r="F36" s="212">
        <v>2999</v>
      </c>
      <c r="G36" s="212">
        <v>3013</v>
      </c>
      <c r="H36" s="212">
        <v>3073</v>
      </c>
      <c r="I36" s="212">
        <v>3062</v>
      </c>
      <c r="J36" s="212">
        <v>3042</v>
      </c>
      <c r="K36" s="212">
        <v>3065</v>
      </c>
      <c r="L36" s="212">
        <v>3054</v>
      </c>
      <c r="M36" s="212">
        <v>3045</v>
      </c>
      <c r="N36" s="212">
        <v>2975</v>
      </c>
      <c r="O36" s="212">
        <v>3121</v>
      </c>
      <c r="P36" s="212">
        <v>3054</v>
      </c>
      <c r="Q36" s="212">
        <f>3716-610</f>
        <v>3106</v>
      </c>
      <c r="R36" s="212">
        <v>37219</v>
      </c>
    </row>
    <row r="37" spans="1:18" ht="13.8" thickBot="1">
      <c r="A37" s="35"/>
      <c r="B37" s="36"/>
      <c r="C37" s="34" t="s">
        <v>333</v>
      </c>
      <c r="D37" s="31">
        <v>21</v>
      </c>
      <c r="E37" s="39" t="s">
        <v>60</v>
      </c>
      <c r="F37" s="211">
        <v>1</v>
      </c>
      <c r="G37" s="211">
        <v>1</v>
      </c>
      <c r="H37" s="211">
        <v>1</v>
      </c>
      <c r="I37" s="211">
        <v>1</v>
      </c>
      <c r="J37" s="211">
        <v>1</v>
      </c>
      <c r="K37" s="211">
        <v>1</v>
      </c>
      <c r="L37" s="211">
        <v>1</v>
      </c>
      <c r="M37" s="211">
        <v>1</v>
      </c>
      <c r="N37" s="211">
        <v>1</v>
      </c>
      <c r="O37" s="211">
        <v>1</v>
      </c>
      <c r="P37" s="211">
        <v>1</v>
      </c>
      <c r="Q37" s="211">
        <v>1</v>
      </c>
      <c r="R37" s="217">
        <v>12</v>
      </c>
    </row>
    <row r="38" spans="1:18" ht="13.8" thickBot="1">
      <c r="A38" s="35"/>
      <c r="B38" s="36"/>
      <c r="C38" s="38"/>
      <c r="D38" s="208" t="s">
        <v>334</v>
      </c>
      <c r="E38" s="39" t="s">
        <v>173</v>
      </c>
      <c r="F38" s="212">
        <v>1</v>
      </c>
      <c r="G38" s="212">
        <v>1</v>
      </c>
      <c r="H38" s="212">
        <v>1</v>
      </c>
      <c r="I38" s="212">
        <v>1</v>
      </c>
      <c r="J38" s="212">
        <v>1</v>
      </c>
      <c r="K38" s="212">
        <v>1</v>
      </c>
      <c r="L38" s="212">
        <v>1</v>
      </c>
      <c r="M38" s="212">
        <v>1</v>
      </c>
      <c r="N38" s="212">
        <v>1</v>
      </c>
      <c r="O38" s="212">
        <v>1</v>
      </c>
      <c r="P38" s="212">
        <v>1</v>
      </c>
      <c r="Q38" s="212">
        <v>1</v>
      </c>
      <c r="R38" s="212">
        <v>12</v>
      </c>
    </row>
    <row r="39" spans="1:18" ht="13.8" thickBot="1">
      <c r="A39" s="35"/>
      <c r="B39" s="36"/>
      <c r="C39" s="34" t="s">
        <v>319</v>
      </c>
      <c r="D39" s="31" t="s">
        <v>103</v>
      </c>
      <c r="E39" s="39" t="s">
        <v>62</v>
      </c>
      <c r="F39" s="211">
        <v>19</v>
      </c>
      <c r="G39" s="211">
        <v>19</v>
      </c>
      <c r="H39" s="211">
        <v>19</v>
      </c>
      <c r="I39" s="211">
        <v>19</v>
      </c>
      <c r="J39" s="211">
        <v>19</v>
      </c>
      <c r="K39" s="211">
        <v>19</v>
      </c>
      <c r="L39" s="211">
        <v>19</v>
      </c>
      <c r="M39" s="211">
        <v>20</v>
      </c>
      <c r="N39" s="211">
        <v>16</v>
      </c>
      <c r="O39" s="211">
        <v>21</v>
      </c>
      <c r="P39" s="211">
        <v>19</v>
      </c>
      <c r="Q39" s="218">
        <f>-533+534</f>
        <v>1</v>
      </c>
      <c r="R39" s="217">
        <v>-324</v>
      </c>
    </row>
    <row r="40" spans="1:18" ht="13.8" thickBot="1">
      <c r="A40" s="35"/>
      <c r="B40" s="36"/>
      <c r="C40" s="37"/>
      <c r="D40" s="31" t="s">
        <v>105</v>
      </c>
      <c r="E40" s="39" t="s">
        <v>174</v>
      </c>
      <c r="F40" s="211">
        <v>3</v>
      </c>
      <c r="G40" s="211">
        <v>3</v>
      </c>
      <c r="H40" s="211">
        <v>3</v>
      </c>
      <c r="I40" s="211">
        <v>3</v>
      </c>
      <c r="J40" s="211">
        <v>3</v>
      </c>
      <c r="K40" s="211">
        <v>3</v>
      </c>
      <c r="L40" s="211">
        <v>3</v>
      </c>
      <c r="M40" s="211">
        <v>3</v>
      </c>
      <c r="N40" s="211">
        <v>3</v>
      </c>
      <c r="O40" s="211">
        <v>3</v>
      </c>
      <c r="P40" s="211">
        <v>3</v>
      </c>
      <c r="Q40" s="218">
        <f>-75+76</f>
        <v>1</v>
      </c>
      <c r="R40" s="217">
        <v>-42</v>
      </c>
    </row>
    <row r="41" spans="1:18" ht="13.8" thickBot="1">
      <c r="A41" s="35"/>
      <c r="B41" s="36"/>
      <c r="C41" s="38"/>
      <c r="D41" s="208" t="s">
        <v>327</v>
      </c>
      <c r="E41" s="39" t="s">
        <v>175</v>
      </c>
      <c r="F41" s="212">
        <v>22</v>
      </c>
      <c r="G41" s="212">
        <v>22</v>
      </c>
      <c r="H41" s="212">
        <v>22</v>
      </c>
      <c r="I41" s="212">
        <v>22</v>
      </c>
      <c r="J41" s="212">
        <v>22</v>
      </c>
      <c r="K41" s="212">
        <v>22</v>
      </c>
      <c r="L41" s="212">
        <v>22</v>
      </c>
      <c r="M41" s="212">
        <v>23</v>
      </c>
      <c r="N41" s="212">
        <v>19</v>
      </c>
      <c r="O41" s="212">
        <v>24</v>
      </c>
      <c r="P41" s="212">
        <v>22</v>
      </c>
      <c r="Q41" s="225">
        <f>-608+610</f>
        <v>2</v>
      </c>
      <c r="R41" s="212">
        <v>-366</v>
      </c>
    </row>
    <row r="42" spans="1:18" ht="13.8" thickBot="1">
      <c r="A42" s="35"/>
      <c r="B42" s="36"/>
      <c r="C42" s="34" t="s">
        <v>320</v>
      </c>
      <c r="D42" s="31" t="s">
        <v>103</v>
      </c>
      <c r="E42" s="39" t="s">
        <v>62</v>
      </c>
      <c r="F42" s="211">
        <v>1</v>
      </c>
      <c r="G42" s="211">
        <v>1</v>
      </c>
      <c r="H42" s="211">
        <v>1</v>
      </c>
      <c r="I42" s="211">
        <v>1</v>
      </c>
      <c r="J42" s="211">
        <v>1</v>
      </c>
      <c r="K42" s="211">
        <v>1</v>
      </c>
      <c r="L42" s="211">
        <v>1</v>
      </c>
      <c r="M42" s="211">
        <v>1</v>
      </c>
      <c r="N42" s="211">
        <v>1</v>
      </c>
      <c r="O42" s="211">
        <v>1</v>
      </c>
      <c r="P42" s="211">
        <v>1</v>
      </c>
      <c r="Q42" s="211">
        <v>1</v>
      </c>
      <c r="R42" s="217">
        <v>12</v>
      </c>
    </row>
    <row r="43" spans="1:18" ht="13.8" thickBot="1">
      <c r="A43" s="35"/>
      <c r="B43" s="36"/>
      <c r="C43" s="38"/>
      <c r="D43" s="208" t="s">
        <v>328</v>
      </c>
      <c r="E43" s="39" t="s">
        <v>175</v>
      </c>
      <c r="F43" s="212">
        <v>1</v>
      </c>
      <c r="G43" s="212">
        <v>1</v>
      </c>
      <c r="H43" s="212">
        <v>1</v>
      </c>
      <c r="I43" s="212">
        <v>1</v>
      </c>
      <c r="J43" s="212">
        <v>1</v>
      </c>
      <c r="K43" s="212">
        <v>1</v>
      </c>
      <c r="L43" s="212">
        <v>1</v>
      </c>
      <c r="M43" s="212">
        <v>1</v>
      </c>
      <c r="N43" s="212">
        <v>1</v>
      </c>
      <c r="O43" s="212">
        <v>1</v>
      </c>
      <c r="P43" s="212">
        <v>1</v>
      </c>
      <c r="Q43" s="212">
        <v>1</v>
      </c>
      <c r="R43" s="212">
        <v>12</v>
      </c>
    </row>
    <row r="44" spans="1:18" ht="13.8" thickBot="1">
      <c r="A44" s="35"/>
      <c r="B44" s="36"/>
      <c r="C44" s="34" t="s">
        <v>321</v>
      </c>
      <c r="D44" s="31" t="s">
        <v>171</v>
      </c>
      <c r="E44" s="39"/>
      <c r="F44" s="211">
        <v>2</v>
      </c>
      <c r="G44" s="211">
        <v>2</v>
      </c>
      <c r="H44" s="211">
        <v>2</v>
      </c>
      <c r="I44" s="211">
        <v>2</v>
      </c>
      <c r="J44" s="211">
        <v>2</v>
      </c>
      <c r="K44" s="211">
        <v>2</v>
      </c>
      <c r="L44" s="211">
        <v>2</v>
      </c>
      <c r="M44" s="211">
        <v>2</v>
      </c>
      <c r="N44" s="211">
        <v>2</v>
      </c>
      <c r="O44" s="211">
        <v>2</v>
      </c>
      <c r="P44" s="211">
        <v>2</v>
      </c>
      <c r="Q44" s="211">
        <v>2</v>
      </c>
      <c r="R44" s="217">
        <v>24</v>
      </c>
    </row>
    <row r="45" spans="1:18" ht="13.8" thickBot="1">
      <c r="A45" s="35"/>
      <c r="B45" s="36"/>
      <c r="C45" s="38"/>
      <c r="D45" s="208" t="s">
        <v>329</v>
      </c>
      <c r="E45" s="39" t="s">
        <v>176</v>
      </c>
      <c r="F45" s="212">
        <v>2</v>
      </c>
      <c r="G45" s="212">
        <v>2</v>
      </c>
      <c r="H45" s="212">
        <v>2</v>
      </c>
      <c r="I45" s="212">
        <v>2</v>
      </c>
      <c r="J45" s="212">
        <v>2</v>
      </c>
      <c r="K45" s="212">
        <v>2</v>
      </c>
      <c r="L45" s="212">
        <v>2</v>
      </c>
      <c r="M45" s="212">
        <v>2</v>
      </c>
      <c r="N45" s="212">
        <v>2</v>
      </c>
      <c r="O45" s="212">
        <v>2</v>
      </c>
      <c r="P45" s="212">
        <v>2</v>
      </c>
      <c r="Q45" s="212">
        <v>2</v>
      </c>
      <c r="R45" s="212">
        <v>24</v>
      </c>
    </row>
    <row r="46" spans="1:18" ht="13.8" thickBot="1">
      <c r="A46" s="35"/>
      <c r="B46" s="36"/>
      <c r="C46" s="34" t="s">
        <v>322</v>
      </c>
      <c r="D46" s="31" t="s">
        <v>168</v>
      </c>
      <c r="E46" s="39"/>
      <c r="F46" s="211">
        <v>20</v>
      </c>
      <c r="G46" s="211">
        <v>20</v>
      </c>
      <c r="H46" s="211">
        <v>20</v>
      </c>
      <c r="I46" s="211">
        <v>20</v>
      </c>
      <c r="J46" s="211">
        <v>20</v>
      </c>
      <c r="K46" s="211">
        <v>20</v>
      </c>
      <c r="L46" s="211">
        <v>20</v>
      </c>
      <c r="M46" s="211">
        <v>20</v>
      </c>
      <c r="N46" s="211">
        <v>20</v>
      </c>
      <c r="O46" s="211">
        <v>17</v>
      </c>
      <c r="P46" s="211">
        <v>19</v>
      </c>
      <c r="Q46" s="211">
        <v>19</v>
      </c>
      <c r="R46" s="217">
        <v>235</v>
      </c>
    </row>
    <row r="47" spans="1:18" ht="13.8" thickBot="1">
      <c r="A47" s="35"/>
      <c r="B47" s="36"/>
      <c r="C47" s="37"/>
      <c r="D47" s="31" t="s">
        <v>172</v>
      </c>
      <c r="E47" s="39"/>
      <c r="F47" s="211">
        <v>21</v>
      </c>
      <c r="G47" s="211">
        <v>21</v>
      </c>
      <c r="H47" s="211">
        <v>21</v>
      </c>
      <c r="I47" s="211">
        <v>21</v>
      </c>
      <c r="J47" s="211">
        <v>21</v>
      </c>
      <c r="K47" s="211">
        <v>21</v>
      </c>
      <c r="L47" s="211">
        <v>21</v>
      </c>
      <c r="M47" s="211">
        <v>21</v>
      </c>
      <c r="N47" s="211">
        <v>21</v>
      </c>
      <c r="O47" s="211">
        <v>21</v>
      </c>
      <c r="P47" s="211">
        <v>21</v>
      </c>
      <c r="Q47" s="211">
        <v>20</v>
      </c>
      <c r="R47" s="217">
        <v>251</v>
      </c>
    </row>
    <row r="48" spans="1:18" ht="13.8" thickBot="1">
      <c r="A48" s="35"/>
      <c r="B48" s="36"/>
      <c r="C48" s="38"/>
      <c r="D48" s="208" t="s">
        <v>330</v>
      </c>
      <c r="E48" s="39"/>
      <c r="F48" s="212">
        <v>41</v>
      </c>
      <c r="G48" s="212">
        <v>41</v>
      </c>
      <c r="H48" s="212">
        <v>41</v>
      </c>
      <c r="I48" s="212">
        <v>41</v>
      </c>
      <c r="J48" s="212">
        <v>41</v>
      </c>
      <c r="K48" s="212">
        <v>41</v>
      </c>
      <c r="L48" s="212">
        <v>41</v>
      </c>
      <c r="M48" s="212">
        <v>41</v>
      </c>
      <c r="N48" s="212">
        <v>41</v>
      </c>
      <c r="O48" s="212">
        <v>38</v>
      </c>
      <c r="P48" s="212">
        <v>40</v>
      </c>
      <c r="Q48" s="212">
        <v>39</v>
      </c>
      <c r="R48" s="212">
        <v>486</v>
      </c>
    </row>
    <row r="49" spans="1:18" ht="13.8" thickBot="1">
      <c r="A49" s="35"/>
      <c r="B49" s="36"/>
      <c r="C49" s="34" t="s">
        <v>323</v>
      </c>
      <c r="D49" s="31" t="s">
        <v>177</v>
      </c>
      <c r="E49" s="39"/>
      <c r="F49" s="211">
        <v>3</v>
      </c>
      <c r="G49" s="211">
        <v>2</v>
      </c>
      <c r="H49" s="211">
        <v>3</v>
      </c>
      <c r="I49" s="211">
        <v>3</v>
      </c>
      <c r="J49" s="211">
        <v>3</v>
      </c>
      <c r="K49" s="211">
        <v>2</v>
      </c>
      <c r="L49" s="211">
        <v>3</v>
      </c>
      <c r="M49" s="211">
        <v>3</v>
      </c>
      <c r="N49" s="211">
        <v>3</v>
      </c>
      <c r="O49" s="211">
        <v>3</v>
      </c>
      <c r="P49" s="211">
        <v>3</v>
      </c>
      <c r="Q49" s="211">
        <v>3</v>
      </c>
      <c r="R49" s="217">
        <v>34</v>
      </c>
    </row>
    <row r="50" spans="1:18" ht="13.8" thickBot="1">
      <c r="A50" s="35"/>
      <c r="B50" s="36"/>
      <c r="C50" s="38"/>
      <c r="D50" s="208" t="s">
        <v>331</v>
      </c>
      <c r="E50" s="39"/>
      <c r="F50" s="212">
        <v>3</v>
      </c>
      <c r="G50" s="212">
        <v>2</v>
      </c>
      <c r="H50" s="212">
        <v>3</v>
      </c>
      <c r="I50" s="212">
        <v>3</v>
      </c>
      <c r="J50" s="212">
        <v>3</v>
      </c>
      <c r="K50" s="212">
        <v>2</v>
      </c>
      <c r="L50" s="212">
        <v>3</v>
      </c>
      <c r="M50" s="212">
        <v>3</v>
      </c>
      <c r="N50" s="212">
        <v>3</v>
      </c>
      <c r="O50" s="212">
        <v>3</v>
      </c>
      <c r="P50" s="212">
        <v>3</v>
      </c>
      <c r="Q50" s="212">
        <v>3</v>
      </c>
      <c r="R50" s="212">
        <v>34</v>
      </c>
    </row>
    <row r="51" spans="1:18" ht="13.8" thickBot="1">
      <c r="A51" s="35"/>
      <c r="B51" s="36"/>
      <c r="C51" s="34" t="s">
        <v>324</v>
      </c>
      <c r="D51" s="31" t="s">
        <v>168</v>
      </c>
      <c r="E51" s="39"/>
      <c r="F51" s="211">
        <v>1</v>
      </c>
      <c r="G51" s="211">
        <v>1</v>
      </c>
      <c r="H51" s="211">
        <v>1</v>
      </c>
      <c r="I51" s="211">
        <v>1</v>
      </c>
      <c r="J51" s="211">
        <v>1</v>
      </c>
      <c r="K51" s="211">
        <v>1</v>
      </c>
      <c r="L51" s="211">
        <v>1</v>
      </c>
      <c r="M51" s="211">
        <v>1</v>
      </c>
      <c r="N51" s="211">
        <v>1</v>
      </c>
      <c r="O51" s="211">
        <v>1</v>
      </c>
      <c r="P51" s="211">
        <v>1</v>
      </c>
      <c r="Q51" s="211">
        <v>1</v>
      </c>
      <c r="R51" s="217">
        <v>12</v>
      </c>
    </row>
    <row r="52" spans="1:18" ht="13.8" thickBot="1">
      <c r="A52" s="35"/>
      <c r="B52" s="36"/>
      <c r="C52" s="37"/>
      <c r="D52" s="31" t="s">
        <v>172</v>
      </c>
      <c r="E52" s="39"/>
      <c r="F52" s="211">
        <v>4</v>
      </c>
      <c r="G52" s="211">
        <v>4</v>
      </c>
      <c r="H52" s="211">
        <v>4</v>
      </c>
      <c r="I52" s="211">
        <v>4</v>
      </c>
      <c r="J52" s="211">
        <v>4</v>
      </c>
      <c r="K52" s="211">
        <v>4</v>
      </c>
      <c r="L52" s="211">
        <v>4</v>
      </c>
      <c r="M52" s="211">
        <v>4</v>
      </c>
      <c r="N52" s="211">
        <v>4</v>
      </c>
      <c r="O52" s="211">
        <v>4</v>
      </c>
      <c r="P52" s="211">
        <v>4</v>
      </c>
      <c r="Q52" s="211">
        <v>4</v>
      </c>
      <c r="R52" s="217">
        <v>48</v>
      </c>
    </row>
    <row r="53" spans="1:18" ht="13.8" thickBot="1">
      <c r="A53" s="35"/>
      <c r="B53" s="36"/>
      <c r="C53" s="38"/>
      <c r="D53" s="208" t="s">
        <v>332</v>
      </c>
      <c r="E53" s="39"/>
      <c r="F53" s="212">
        <v>5</v>
      </c>
      <c r="G53" s="212">
        <v>5</v>
      </c>
      <c r="H53" s="212">
        <v>5</v>
      </c>
      <c r="I53" s="212">
        <v>5</v>
      </c>
      <c r="J53" s="212">
        <v>5</v>
      </c>
      <c r="K53" s="212">
        <v>5</v>
      </c>
      <c r="L53" s="212">
        <v>5</v>
      </c>
      <c r="M53" s="212">
        <v>5</v>
      </c>
      <c r="N53" s="212">
        <v>5</v>
      </c>
      <c r="O53" s="212">
        <v>5</v>
      </c>
      <c r="P53" s="212">
        <v>5</v>
      </c>
      <c r="Q53" s="212">
        <v>5</v>
      </c>
      <c r="R53" s="212">
        <v>60</v>
      </c>
    </row>
    <row r="58" spans="1:18" ht="13.2" hidden="1">
      <c r="A58" s="50" t="s">
        <v>159</v>
      </c>
      <c r="B58" s="50"/>
      <c r="C58" s="50"/>
      <c r="D58" s="50"/>
      <c r="E58" s="50"/>
      <c r="F58" s="54"/>
      <c r="G58" s="71"/>
      <c r="H58" s="54"/>
      <c r="I58" s="54"/>
      <c r="J58" s="54"/>
      <c r="K58" s="54"/>
      <c r="L58" s="54"/>
      <c r="M58" s="54"/>
      <c r="N58" s="54"/>
      <c r="O58" s="50"/>
      <c r="P58" s="50"/>
      <c r="Q58" s="50"/>
    </row>
    <row r="59" spans="1:18" ht="13.2" hidden="1">
      <c r="A59" s="50"/>
      <c r="B59" s="50"/>
      <c r="C59" s="50"/>
      <c r="D59" s="54"/>
      <c r="E59" s="99"/>
      <c r="F59" s="54"/>
      <c r="G59" s="71"/>
      <c r="H59" s="54"/>
      <c r="I59" s="54"/>
      <c r="J59" s="54"/>
      <c r="K59" s="54"/>
      <c r="L59" s="54"/>
      <c r="M59" s="54"/>
      <c r="N59" s="54"/>
      <c r="O59" s="54"/>
      <c r="P59" s="54"/>
      <c r="Q59" s="54"/>
    </row>
    <row r="60" spans="1:18" ht="13.2" hidden="1">
      <c r="A60" s="50"/>
      <c r="B60" s="50"/>
      <c r="C60" s="50"/>
      <c r="D60" s="54"/>
      <c r="E60" s="99"/>
      <c r="F60" s="54"/>
      <c r="G60" s="71"/>
      <c r="H60" s="54"/>
      <c r="I60" s="54"/>
      <c r="J60" s="54"/>
      <c r="K60" s="54"/>
      <c r="L60" s="54"/>
      <c r="M60" s="54"/>
      <c r="N60" s="54"/>
      <c r="O60" s="54"/>
      <c r="P60" s="54"/>
      <c r="Q60" s="54"/>
    </row>
    <row r="61" spans="1:18" ht="13.2" hidden="1">
      <c r="A61" s="50"/>
      <c r="B61" s="50"/>
      <c r="C61" s="50"/>
      <c r="D61" s="50"/>
      <c r="E61" s="50"/>
      <c r="F61" s="141" t="str">
        <f t="shared" ref="F61:Q61" si="0">F4</f>
        <v>201801</v>
      </c>
      <c r="G61" s="141" t="str">
        <f t="shared" si="0"/>
        <v>201802</v>
      </c>
      <c r="H61" s="141" t="str">
        <f t="shared" si="0"/>
        <v>201803</v>
      </c>
      <c r="I61" s="141" t="str">
        <f t="shared" si="0"/>
        <v>201804</v>
      </c>
      <c r="J61" s="141" t="str">
        <f t="shared" si="0"/>
        <v>201805</v>
      </c>
      <c r="K61" s="141" t="str">
        <f t="shared" si="0"/>
        <v>201806</v>
      </c>
      <c r="L61" s="141" t="str">
        <f t="shared" si="0"/>
        <v>201807</v>
      </c>
      <c r="M61" s="141" t="str">
        <f t="shared" si="0"/>
        <v>201808</v>
      </c>
      <c r="N61" s="141" t="str">
        <f t="shared" si="0"/>
        <v>201809</v>
      </c>
      <c r="O61" s="53" t="str">
        <f t="shared" si="0"/>
        <v>201810</v>
      </c>
      <c r="P61" s="53" t="str">
        <f t="shared" si="0"/>
        <v>201811</v>
      </c>
      <c r="Q61" s="53" t="str">
        <f t="shared" si="0"/>
        <v>201812</v>
      </c>
    </row>
    <row r="62" spans="1:18" ht="13.2" hidden="1">
      <c r="A62" s="50" t="s">
        <v>127</v>
      </c>
      <c r="B62" s="50"/>
      <c r="C62" s="50"/>
      <c r="D62" s="50"/>
      <c r="E62" s="50" t="s">
        <v>83</v>
      </c>
      <c r="F62" s="142">
        <f t="shared" ref="F62:Q71" si="1">ROUND(SUMIF($E$6:$E$53,$E62,F$6:F$53),0)</f>
        <v>0</v>
      </c>
      <c r="G62" s="142">
        <f t="shared" si="1"/>
        <v>0</v>
      </c>
      <c r="H62" s="142">
        <f t="shared" si="1"/>
        <v>0</v>
      </c>
      <c r="I62" s="142">
        <f t="shared" si="1"/>
        <v>0</v>
      </c>
      <c r="J62" s="142">
        <f t="shared" si="1"/>
        <v>0</v>
      </c>
      <c r="K62" s="142">
        <f t="shared" si="1"/>
        <v>0</v>
      </c>
      <c r="L62" s="142">
        <f t="shared" si="1"/>
        <v>0</v>
      </c>
      <c r="M62" s="142">
        <f t="shared" si="1"/>
        <v>0</v>
      </c>
      <c r="N62" s="142">
        <f t="shared" si="1"/>
        <v>0</v>
      </c>
      <c r="O62" s="52">
        <f t="shared" si="1"/>
        <v>0</v>
      </c>
      <c r="P62" s="52">
        <f t="shared" si="1"/>
        <v>0</v>
      </c>
      <c r="Q62" s="52">
        <f t="shared" si="1"/>
        <v>0</v>
      </c>
    </row>
    <row r="63" spans="1:18" ht="13.2" hidden="1">
      <c r="A63" s="50" t="s">
        <v>128</v>
      </c>
      <c r="B63" s="50"/>
      <c r="C63" s="50"/>
      <c r="D63" s="50"/>
      <c r="E63" s="50" t="s">
        <v>84</v>
      </c>
      <c r="F63" s="142">
        <f t="shared" si="1"/>
        <v>0</v>
      </c>
      <c r="G63" s="142">
        <f t="shared" si="1"/>
        <v>0</v>
      </c>
      <c r="H63" s="142">
        <f t="shared" si="1"/>
        <v>0</v>
      </c>
      <c r="I63" s="142">
        <f t="shared" si="1"/>
        <v>0</v>
      </c>
      <c r="J63" s="142">
        <f t="shared" si="1"/>
        <v>0</v>
      </c>
      <c r="K63" s="142">
        <f t="shared" si="1"/>
        <v>0</v>
      </c>
      <c r="L63" s="142">
        <f t="shared" si="1"/>
        <v>0</v>
      </c>
      <c r="M63" s="142">
        <f t="shared" si="1"/>
        <v>0</v>
      </c>
      <c r="N63" s="142">
        <f t="shared" si="1"/>
        <v>0</v>
      </c>
      <c r="O63" s="52">
        <f t="shared" si="1"/>
        <v>0</v>
      </c>
      <c r="P63" s="52">
        <f t="shared" si="1"/>
        <v>0</v>
      </c>
      <c r="Q63" s="52">
        <f t="shared" si="1"/>
        <v>0</v>
      </c>
    </row>
    <row r="64" spans="1:18" ht="13.2" hidden="1">
      <c r="A64" s="50" t="s">
        <v>129</v>
      </c>
      <c r="B64" s="50"/>
      <c r="C64" s="50"/>
      <c r="D64" s="50"/>
      <c r="E64" s="50" t="s">
        <v>85</v>
      </c>
      <c r="F64" s="142">
        <f t="shared" si="1"/>
        <v>0</v>
      </c>
      <c r="G64" s="142">
        <f t="shared" si="1"/>
        <v>0</v>
      </c>
      <c r="H64" s="142">
        <f t="shared" si="1"/>
        <v>0</v>
      </c>
      <c r="I64" s="142">
        <f t="shared" si="1"/>
        <v>0</v>
      </c>
      <c r="J64" s="142">
        <f t="shared" si="1"/>
        <v>0</v>
      </c>
      <c r="K64" s="142">
        <f t="shared" si="1"/>
        <v>0</v>
      </c>
      <c r="L64" s="142">
        <f t="shared" si="1"/>
        <v>0</v>
      </c>
      <c r="M64" s="142">
        <f t="shared" si="1"/>
        <v>0</v>
      </c>
      <c r="N64" s="142">
        <f t="shared" si="1"/>
        <v>0</v>
      </c>
      <c r="O64" s="52">
        <f t="shared" si="1"/>
        <v>0</v>
      </c>
      <c r="P64" s="52">
        <f t="shared" si="1"/>
        <v>0</v>
      </c>
      <c r="Q64" s="52">
        <f t="shared" si="1"/>
        <v>0</v>
      </c>
    </row>
    <row r="65" spans="1:17" ht="13.2" hidden="1">
      <c r="A65" s="50" t="s">
        <v>130</v>
      </c>
      <c r="B65" s="50"/>
      <c r="C65" s="50"/>
      <c r="D65" s="50"/>
      <c r="E65" s="50" t="s">
        <v>86</v>
      </c>
      <c r="F65" s="142">
        <f t="shared" si="1"/>
        <v>0</v>
      </c>
      <c r="G65" s="142">
        <f t="shared" si="1"/>
        <v>0</v>
      </c>
      <c r="H65" s="142">
        <f t="shared" si="1"/>
        <v>0</v>
      </c>
      <c r="I65" s="142">
        <f t="shared" si="1"/>
        <v>0</v>
      </c>
      <c r="J65" s="142">
        <f t="shared" si="1"/>
        <v>0</v>
      </c>
      <c r="K65" s="142">
        <f t="shared" si="1"/>
        <v>0</v>
      </c>
      <c r="L65" s="142">
        <f t="shared" si="1"/>
        <v>0</v>
      </c>
      <c r="M65" s="142">
        <f t="shared" si="1"/>
        <v>0</v>
      </c>
      <c r="N65" s="142">
        <f t="shared" si="1"/>
        <v>0</v>
      </c>
      <c r="O65" s="52">
        <f t="shared" si="1"/>
        <v>0</v>
      </c>
      <c r="P65" s="52">
        <f t="shared" si="1"/>
        <v>0</v>
      </c>
      <c r="Q65" s="52">
        <f t="shared" si="1"/>
        <v>0</v>
      </c>
    </row>
    <row r="66" spans="1:17" ht="13.2" hidden="1">
      <c r="A66" s="50" t="s">
        <v>131</v>
      </c>
      <c r="B66" s="50"/>
      <c r="C66" s="50"/>
      <c r="D66" s="50"/>
      <c r="E66" s="50" t="s">
        <v>87</v>
      </c>
      <c r="F66" s="142">
        <f t="shared" si="1"/>
        <v>0</v>
      </c>
      <c r="G66" s="142">
        <f t="shared" si="1"/>
        <v>0</v>
      </c>
      <c r="H66" s="142">
        <f t="shared" si="1"/>
        <v>0</v>
      </c>
      <c r="I66" s="142">
        <f t="shared" si="1"/>
        <v>0</v>
      </c>
      <c r="J66" s="142">
        <f t="shared" si="1"/>
        <v>0</v>
      </c>
      <c r="K66" s="142">
        <f t="shared" si="1"/>
        <v>0</v>
      </c>
      <c r="L66" s="142">
        <f t="shared" si="1"/>
        <v>0</v>
      </c>
      <c r="M66" s="142">
        <f t="shared" si="1"/>
        <v>0</v>
      </c>
      <c r="N66" s="142">
        <f t="shared" si="1"/>
        <v>0</v>
      </c>
      <c r="O66" s="52">
        <f t="shared" si="1"/>
        <v>0</v>
      </c>
      <c r="P66" s="52">
        <f t="shared" si="1"/>
        <v>0</v>
      </c>
      <c r="Q66" s="52">
        <f t="shared" si="1"/>
        <v>0</v>
      </c>
    </row>
    <row r="67" spans="1:17" ht="13.2" hidden="1">
      <c r="A67" s="50" t="s">
        <v>132</v>
      </c>
      <c r="B67" s="50"/>
      <c r="C67" s="50"/>
      <c r="D67" s="50"/>
      <c r="E67" s="50" t="s">
        <v>88</v>
      </c>
      <c r="F67" s="142">
        <f t="shared" si="1"/>
        <v>0</v>
      </c>
      <c r="G67" s="142">
        <f t="shared" si="1"/>
        <v>0</v>
      </c>
      <c r="H67" s="142">
        <f t="shared" si="1"/>
        <v>0</v>
      </c>
      <c r="I67" s="142">
        <f t="shared" si="1"/>
        <v>0</v>
      </c>
      <c r="J67" s="142">
        <f t="shared" si="1"/>
        <v>0</v>
      </c>
      <c r="K67" s="142">
        <f t="shared" si="1"/>
        <v>0</v>
      </c>
      <c r="L67" s="142">
        <f t="shared" si="1"/>
        <v>0</v>
      </c>
      <c r="M67" s="142">
        <f t="shared" si="1"/>
        <v>0</v>
      </c>
      <c r="N67" s="142">
        <f t="shared" si="1"/>
        <v>0</v>
      </c>
      <c r="O67" s="52">
        <f t="shared" si="1"/>
        <v>0</v>
      </c>
      <c r="P67" s="52">
        <f t="shared" si="1"/>
        <v>0</v>
      </c>
      <c r="Q67" s="52">
        <f t="shared" si="1"/>
        <v>0</v>
      </c>
    </row>
    <row r="68" spans="1:17" ht="13.2" hidden="1">
      <c r="A68" s="50" t="s">
        <v>133</v>
      </c>
      <c r="B68" s="50"/>
      <c r="C68" s="50"/>
      <c r="D68" s="50"/>
      <c r="E68" s="50" t="s">
        <v>107</v>
      </c>
      <c r="F68" s="142">
        <f t="shared" si="1"/>
        <v>0</v>
      </c>
      <c r="G68" s="142">
        <f t="shared" si="1"/>
        <v>0</v>
      </c>
      <c r="H68" s="142">
        <f t="shared" si="1"/>
        <v>0</v>
      </c>
      <c r="I68" s="142">
        <f t="shared" si="1"/>
        <v>0</v>
      </c>
      <c r="J68" s="142">
        <f t="shared" si="1"/>
        <v>0</v>
      </c>
      <c r="K68" s="142">
        <f t="shared" si="1"/>
        <v>0</v>
      </c>
      <c r="L68" s="142">
        <f t="shared" si="1"/>
        <v>0</v>
      </c>
      <c r="M68" s="142">
        <f t="shared" si="1"/>
        <v>0</v>
      </c>
      <c r="N68" s="142">
        <f t="shared" si="1"/>
        <v>0</v>
      </c>
      <c r="O68" s="52">
        <f t="shared" si="1"/>
        <v>0</v>
      </c>
      <c r="P68" s="52">
        <f t="shared" si="1"/>
        <v>0</v>
      </c>
      <c r="Q68" s="52">
        <f t="shared" si="1"/>
        <v>0</v>
      </c>
    </row>
    <row r="69" spans="1:17" ht="13.2" hidden="1">
      <c r="A69" s="50" t="s">
        <v>134</v>
      </c>
      <c r="B69" s="50"/>
      <c r="C69" s="50"/>
      <c r="D69" s="50"/>
      <c r="E69" s="50" t="s">
        <v>108</v>
      </c>
      <c r="F69" s="142">
        <f t="shared" si="1"/>
        <v>0</v>
      </c>
      <c r="G69" s="142">
        <f t="shared" si="1"/>
        <v>0</v>
      </c>
      <c r="H69" s="142">
        <f t="shared" si="1"/>
        <v>0</v>
      </c>
      <c r="I69" s="142">
        <f t="shared" si="1"/>
        <v>0</v>
      </c>
      <c r="J69" s="142">
        <f t="shared" si="1"/>
        <v>0</v>
      </c>
      <c r="K69" s="142">
        <f t="shared" si="1"/>
        <v>0</v>
      </c>
      <c r="L69" s="142">
        <f t="shared" si="1"/>
        <v>0</v>
      </c>
      <c r="M69" s="142">
        <f t="shared" si="1"/>
        <v>0</v>
      </c>
      <c r="N69" s="142">
        <f t="shared" si="1"/>
        <v>0</v>
      </c>
      <c r="O69" s="52">
        <f t="shared" si="1"/>
        <v>0</v>
      </c>
      <c r="P69" s="52">
        <f t="shared" si="1"/>
        <v>0</v>
      </c>
      <c r="Q69" s="52">
        <f t="shared" si="1"/>
        <v>0</v>
      </c>
    </row>
    <row r="70" spans="1:17" ht="13.2" hidden="1">
      <c r="A70" s="50" t="s">
        <v>135</v>
      </c>
      <c r="B70" s="50"/>
      <c r="C70" s="50"/>
      <c r="D70" s="50"/>
      <c r="E70" s="50" t="s">
        <v>109</v>
      </c>
      <c r="F70" s="142">
        <f t="shared" si="1"/>
        <v>0</v>
      </c>
      <c r="G70" s="142">
        <f t="shared" si="1"/>
        <v>0</v>
      </c>
      <c r="H70" s="142">
        <f t="shared" si="1"/>
        <v>0</v>
      </c>
      <c r="I70" s="142">
        <f t="shared" si="1"/>
        <v>0</v>
      </c>
      <c r="J70" s="142">
        <f t="shared" si="1"/>
        <v>0</v>
      </c>
      <c r="K70" s="142">
        <f t="shared" si="1"/>
        <v>0</v>
      </c>
      <c r="L70" s="142">
        <f t="shared" si="1"/>
        <v>0</v>
      </c>
      <c r="M70" s="142">
        <f t="shared" si="1"/>
        <v>0</v>
      </c>
      <c r="N70" s="142">
        <f t="shared" si="1"/>
        <v>0</v>
      </c>
      <c r="O70" s="52">
        <f t="shared" si="1"/>
        <v>0</v>
      </c>
      <c r="P70" s="52">
        <f t="shared" si="1"/>
        <v>0</v>
      </c>
      <c r="Q70" s="52">
        <f t="shared" si="1"/>
        <v>0</v>
      </c>
    </row>
    <row r="71" spans="1:17" ht="13.2" hidden="1">
      <c r="A71" s="50" t="s">
        <v>136</v>
      </c>
      <c r="B71" s="50"/>
      <c r="C71" s="50"/>
      <c r="D71" s="50"/>
      <c r="E71" s="50" t="s">
        <v>110</v>
      </c>
      <c r="F71" s="142">
        <f t="shared" si="1"/>
        <v>0</v>
      </c>
      <c r="G71" s="142">
        <f t="shared" si="1"/>
        <v>0</v>
      </c>
      <c r="H71" s="142">
        <f t="shared" si="1"/>
        <v>0</v>
      </c>
      <c r="I71" s="142">
        <f t="shared" si="1"/>
        <v>0</v>
      </c>
      <c r="J71" s="142">
        <f t="shared" si="1"/>
        <v>0</v>
      </c>
      <c r="K71" s="142">
        <f t="shared" si="1"/>
        <v>0</v>
      </c>
      <c r="L71" s="142">
        <f t="shared" si="1"/>
        <v>0</v>
      </c>
      <c r="M71" s="142">
        <f t="shared" si="1"/>
        <v>0</v>
      </c>
      <c r="N71" s="142">
        <f t="shared" si="1"/>
        <v>0</v>
      </c>
      <c r="O71" s="52">
        <f t="shared" si="1"/>
        <v>0</v>
      </c>
      <c r="P71" s="52">
        <f t="shared" si="1"/>
        <v>0</v>
      </c>
      <c r="Q71" s="52">
        <f t="shared" si="1"/>
        <v>0</v>
      </c>
    </row>
    <row r="72" spans="1:17" ht="13.2" hidden="1">
      <c r="A72" s="50" t="s">
        <v>137</v>
      </c>
      <c r="B72" s="50"/>
      <c r="C72" s="50"/>
      <c r="D72" s="50"/>
      <c r="E72" s="50" t="s">
        <v>111</v>
      </c>
      <c r="F72" s="142">
        <f t="shared" ref="F72:Q81" si="2">ROUND(SUMIF($E$6:$E$53,$E72,F$6:F$53),0)</f>
        <v>0</v>
      </c>
      <c r="G72" s="142">
        <f t="shared" si="2"/>
        <v>0</v>
      </c>
      <c r="H72" s="142">
        <f t="shared" si="2"/>
        <v>0</v>
      </c>
      <c r="I72" s="142">
        <f t="shared" si="2"/>
        <v>0</v>
      </c>
      <c r="J72" s="142">
        <f t="shared" si="2"/>
        <v>0</v>
      </c>
      <c r="K72" s="142">
        <f t="shared" si="2"/>
        <v>0</v>
      </c>
      <c r="L72" s="142">
        <f t="shared" si="2"/>
        <v>0</v>
      </c>
      <c r="M72" s="142">
        <f t="shared" si="2"/>
        <v>0</v>
      </c>
      <c r="N72" s="142">
        <f t="shared" si="2"/>
        <v>0</v>
      </c>
      <c r="O72" s="52">
        <f t="shared" si="2"/>
        <v>0</v>
      </c>
      <c r="P72" s="52">
        <f t="shared" si="2"/>
        <v>0</v>
      </c>
      <c r="Q72" s="52">
        <f t="shared" si="2"/>
        <v>0</v>
      </c>
    </row>
    <row r="73" spans="1:17" ht="13.2" hidden="1">
      <c r="A73" s="50" t="s">
        <v>138</v>
      </c>
      <c r="B73" s="50"/>
      <c r="C73" s="50"/>
      <c r="D73" s="50"/>
      <c r="E73" s="50" t="s">
        <v>112</v>
      </c>
      <c r="F73" s="142">
        <f t="shared" si="2"/>
        <v>0</v>
      </c>
      <c r="G73" s="142">
        <f t="shared" si="2"/>
        <v>0</v>
      </c>
      <c r="H73" s="142">
        <f t="shared" si="2"/>
        <v>0</v>
      </c>
      <c r="I73" s="142">
        <f t="shared" si="2"/>
        <v>0</v>
      </c>
      <c r="J73" s="142">
        <f t="shared" si="2"/>
        <v>0</v>
      </c>
      <c r="K73" s="142">
        <f t="shared" si="2"/>
        <v>0</v>
      </c>
      <c r="L73" s="142">
        <f t="shared" si="2"/>
        <v>0</v>
      </c>
      <c r="M73" s="142">
        <f t="shared" si="2"/>
        <v>0</v>
      </c>
      <c r="N73" s="142">
        <f t="shared" si="2"/>
        <v>0</v>
      </c>
      <c r="O73" s="52">
        <f t="shared" si="2"/>
        <v>0</v>
      </c>
      <c r="P73" s="52">
        <f t="shared" si="2"/>
        <v>0</v>
      </c>
      <c r="Q73" s="52">
        <f t="shared" si="2"/>
        <v>0</v>
      </c>
    </row>
    <row r="74" spans="1:17" ht="13.2" hidden="1">
      <c r="A74" s="50" t="s">
        <v>139</v>
      </c>
      <c r="B74" s="50"/>
      <c r="C74" s="50"/>
      <c r="D74" s="50"/>
      <c r="E74" s="50" t="s">
        <v>115</v>
      </c>
      <c r="F74" s="142">
        <f t="shared" si="2"/>
        <v>0</v>
      </c>
      <c r="G74" s="142">
        <f t="shared" si="2"/>
        <v>0</v>
      </c>
      <c r="H74" s="142">
        <f t="shared" si="2"/>
        <v>0</v>
      </c>
      <c r="I74" s="142">
        <f t="shared" si="2"/>
        <v>0</v>
      </c>
      <c r="J74" s="142">
        <f t="shared" si="2"/>
        <v>0</v>
      </c>
      <c r="K74" s="142">
        <f t="shared" si="2"/>
        <v>0</v>
      </c>
      <c r="L74" s="142">
        <f t="shared" si="2"/>
        <v>0</v>
      </c>
      <c r="M74" s="142">
        <f t="shared" si="2"/>
        <v>0</v>
      </c>
      <c r="N74" s="142">
        <f t="shared" si="2"/>
        <v>0</v>
      </c>
      <c r="O74" s="52">
        <f t="shared" si="2"/>
        <v>0</v>
      </c>
      <c r="P74" s="52">
        <f t="shared" si="2"/>
        <v>0</v>
      </c>
      <c r="Q74" s="52">
        <f t="shared" si="2"/>
        <v>0</v>
      </c>
    </row>
    <row r="75" spans="1:17" ht="13.2" hidden="1">
      <c r="A75" s="50" t="s">
        <v>140</v>
      </c>
      <c r="B75" s="50"/>
      <c r="C75" s="50"/>
      <c r="D75" s="50"/>
      <c r="E75" s="50" t="s">
        <v>114</v>
      </c>
      <c r="F75" s="142">
        <f t="shared" si="2"/>
        <v>0</v>
      </c>
      <c r="G75" s="142">
        <f t="shared" si="2"/>
        <v>0</v>
      </c>
      <c r="H75" s="142">
        <f t="shared" si="2"/>
        <v>0</v>
      </c>
      <c r="I75" s="142">
        <f t="shared" si="2"/>
        <v>0</v>
      </c>
      <c r="J75" s="142">
        <f t="shared" si="2"/>
        <v>0</v>
      </c>
      <c r="K75" s="142">
        <f t="shared" si="2"/>
        <v>0</v>
      </c>
      <c r="L75" s="142">
        <f t="shared" si="2"/>
        <v>0</v>
      </c>
      <c r="M75" s="142">
        <f t="shared" si="2"/>
        <v>0</v>
      </c>
      <c r="N75" s="142">
        <f t="shared" si="2"/>
        <v>0</v>
      </c>
      <c r="O75" s="52">
        <f t="shared" si="2"/>
        <v>0</v>
      </c>
      <c r="P75" s="52">
        <f t="shared" si="2"/>
        <v>0</v>
      </c>
      <c r="Q75" s="52">
        <f t="shared" si="2"/>
        <v>0</v>
      </c>
    </row>
    <row r="76" spans="1:17" ht="13.2" hidden="1">
      <c r="A76" s="50" t="s">
        <v>141</v>
      </c>
      <c r="B76" s="50"/>
      <c r="C76" s="50"/>
      <c r="D76" s="50"/>
      <c r="E76" s="50" t="s">
        <v>113</v>
      </c>
      <c r="F76" s="142">
        <f t="shared" si="2"/>
        <v>0</v>
      </c>
      <c r="G76" s="142">
        <f t="shared" si="2"/>
        <v>0</v>
      </c>
      <c r="H76" s="142">
        <f t="shared" si="2"/>
        <v>0</v>
      </c>
      <c r="I76" s="142">
        <f t="shared" si="2"/>
        <v>0</v>
      </c>
      <c r="J76" s="142">
        <f t="shared" si="2"/>
        <v>0</v>
      </c>
      <c r="K76" s="142">
        <f t="shared" si="2"/>
        <v>0</v>
      </c>
      <c r="L76" s="142">
        <f t="shared" si="2"/>
        <v>0</v>
      </c>
      <c r="M76" s="142">
        <f t="shared" si="2"/>
        <v>0</v>
      </c>
      <c r="N76" s="142">
        <f t="shared" si="2"/>
        <v>0</v>
      </c>
      <c r="O76" s="52">
        <f t="shared" si="2"/>
        <v>0</v>
      </c>
      <c r="P76" s="52">
        <f t="shared" si="2"/>
        <v>0</v>
      </c>
      <c r="Q76" s="52">
        <f t="shared" si="2"/>
        <v>0</v>
      </c>
    </row>
    <row r="77" spans="1:17" ht="13.2" hidden="1">
      <c r="A77" s="50" t="s">
        <v>142</v>
      </c>
      <c r="B77" s="50"/>
      <c r="C77" s="50"/>
      <c r="D77" s="50"/>
      <c r="E77" s="50" t="s">
        <v>116</v>
      </c>
      <c r="F77" s="142">
        <f t="shared" si="2"/>
        <v>0</v>
      </c>
      <c r="G77" s="142">
        <f t="shared" si="2"/>
        <v>0</v>
      </c>
      <c r="H77" s="142">
        <f t="shared" si="2"/>
        <v>0</v>
      </c>
      <c r="I77" s="142">
        <f t="shared" si="2"/>
        <v>0</v>
      </c>
      <c r="J77" s="142">
        <f t="shared" si="2"/>
        <v>0</v>
      </c>
      <c r="K77" s="142">
        <f t="shared" si="2"/>
        <v>0</v>
      </c>
      <c r="L77" s="142">
        <f t="shared" si="2"/>
        <v>0</v>
      </c>
      <c r="M77" s="142">
        <f t="shared" si="2"/>
        <v>0</v>
      </c>
      <c r="N77" s="142">
        <f t="shared" si="2"/>
        <v>0</v>
      </c>
      <c r="O77" s="52">
        <f t="shared" si="2"/>
        <v>0</v>
      </c>
      <c r="P77" s="52">
        <f t="shared" si="2"/>
        <v>0</v>
      </c>
      <c r="Q77" s="52">
        <f t="shared" si="2"/>
        <v>0</v>
      </c>
    </row>
    <row r="78" spans="1:17" ht="13.2" hidden="1">
      <c r="A78" s="50"/>
      <c r="B78" s="50"/>
      <c r="C78" s="50"/>
      <c r="D78" s="50"/>
      <c r="E78" s="50"/>
      <c r="F78" s="142">
        <f t="shared" si="2"/>
        <v>0</v>
      </c>
      <c r="G78" s="142">
        <f t="shared" si="2"/>
        <v>0</v>
      </c>
      <c r="H78" s="142">
        <f t="shared" si="2"/>
        <v>0</v>
      </c>
      <c r="I78" s="142">
        <f t="shared" si="2"/>
        <v>0</v>
      </c>
      <c r="J78" s="142">
        <f t="shared" si="2"/>
        <v>0</v>
      </c>
      <c r="K78" s="142">
        <f t="shared" si="2"/>
        <v>0</v>
      </c>
      <c r="L78" s="142">
        <f t="shared" si="2"/>
        <v>0</v>
      </c>
      <c r="M78" s="142">
        <f t="shared" si="2"/>
        <v>0</v>
      </c>
      <c r="N78" s="142">
        <f t="shared" si="2"/>
        <v>0</v>
      </c>
      <c r="O78" s="52">
        <f t="shared" si="2"/>
        <v>0</v>
      </c>
      <c r="P78" s="52">
        <f t="shared" si="2"/>
        <v>0</v>
      </c>
      <c r="Q78" s="52">
        <f t="shared" si="2"/>
        <v>0</v>
      </c>
    </row>
    <row r="79" spans="1:17" ht="13.2" hidden="1">
      <c r="A79" s="50" t="s">
        <v>143</v>
      </c>
      <c r="B79" s="50"/>
      <c r="C79" s="50"/>
      <c r="D79" s="50"/>
      <c r="E79" s="50" t="s">
        <v>89</v>
      </c>
      <c r="F79" s="142">
        <f t="shared" si="2"/>
        <v>0</v>
      </c>
      <c r="G79" s="142">
        <f t="shared" si="2"/>
        <v>0</v>
      </c>
      <c r="H79" s="142">
        <f t="shared" si="2"/>
        <v>0</v>
      </c>
      <c r="I79" s="142">
        <f t="shared" si="2"/>
        <v>0</v>
      </c>
      <c r="J79" s="142">
        <f t="shared" si="2"/>
        <v>0</v>
      </c>
      <c r="K79" s="142">
        <f t="shared" si="2"/>
        <v>0</v>
      </c>
      <c r="L79" s="142">
        <f t="shared" si="2"/>
        <v>0</v>
      </c>
      <c r="M79" s="142">
        <f t="shared" si="2"/>
        <v>0</v>
      </c>
      <c r="N79" s="142">
        <f t="shared" si="2"/>
        <v>0</v>
      </c>
      <c r="O79" s="52">
        <f t="shared" si="2"/>
        <v>0</v>
      </c>
      <c r="P79" s="52">
        <f t="shared" si="2"/>
        <v>0</v>
      </c>
      <c r="Q79" s="52">
        <f t="shared" si="2"/>
        <v>0</v>
      </c>
    </row>
    <row r="80" spans="1:17" ht="13.2" hidden="1">
      <c r="A80" s="50" t="s">
        <v>144</v>
      </c>
      <c r="B80" s="50"/>
      <c r="C80" s="50"/>
      <c r="D80" s="50"/>
      <c r="E80" s="50" t="s">
        <v>90</v>
      </c>
      <c r="F80" s="142">
        <f t="shared" si="2"/>
        <v>0</v>
      </c>
      <c r="G80" s="142">
        <f t="shared" si="2"/>
        <v>0</v>
      </c>
      <c r="H80" s="142">
        <f t="shared" si="2"/>
        <v>0</v>
      </c>
      <c r="I80" s="142">
        <f t="shared" si="2"/>
        <v>0</v>
      </c>
      <c r="J80" s="142">
        <f t="shared" si="2"/>
        <v>0</v>
      </c>
      <c r="K80" s="142">
        <f t="shared" si="2"/>
        <v>0</v>
      </c>
      <c r="L80" s="142">
        <f t="shared" si="2"/>
        <v>0</v>
      </c>
      <c r="M80" s="142">
        <f t="shared" si="2"/>
        <v>0</v>
      </c>
      <c r="N80" s="142">
        <f t="shared" si="2"/>
        <v>0</v>
      </c>
      <c r="O80" s="52">
        <f t="shared" si="2"/>
        <v>0</v>
      </c>
      <c r="P80" s="52">
        <f t="shared" si="2"/>
        <v>0</v>
      </c>
      <c r="Q80" s="52">
        <f t="shared" si="2"/>
        <v>0</v>
      </c>
    </row>
    <row r="81" spans="1:17" ht="13.2" hidden="1">
      <c r="A81" s="50" t="s">
        <v>145</v>
      </c>
      <c r="B81" s="50"/>
      <c r="C81" s="50"/>
      <c r="D81" s="50"/>
      <c r="E81" s="50" t="s">
        <v>91</v>
      </c>
      <c r="F81" s="142">
        <f t="shared" si="2"/>
        <v>0</v>
      </c>
      <c r="G81" s="142">
        <f t="shared" si="2"/>
        <v>0</v>
      </c>
      <c r="H81" s="142">
        <f t="shared" si="2"/>
        <v>0</v>
      </c>
      <c r="I81" s="142">
        <f t="shared" si="2"/>
        <v>0</v>
      </c>
      <c r="J81" s="142">
        <f t="shared" si="2"/>
        <v>0</v>
      </c>
      <c r="K81" s="142">
        <f t="shared" si="2"/>
        <v>0</v>
      </c>
      <c r="L81" s="142">
        <f t="shared" si="2"/>
        <v>0</v>
      </c>
      <c r="M81" s="142">
        <f t="shared" si="2"/>
        <v>0</v>
      </c>
      <c r="N81" s="142">
        <f t="shared" si="2"/>
        <v>0</v>
      </c>
      <c r="O81" s="52">
        <f t="shared" si="2"/>
        <v>0</v>
      </c>
      <c r="P81" s="52">
        <f t="shared" si="2"/>
        <v>0</v>
      </c>
      <c r="Q81" s="52">
        <f t="shared" si="2"/>
        <v>0</v>
      </c>
    </row>
    <row r="82" spans="1:17" ht="13.2" hidden="1">
      <c r="A82" s="50" t="s">
        <v>146</v>
      </c>
      <c r="B82" s="50"/>
      <c r="C82" s="50"/>
      <c r="D82" s="50"/>
      <c r="E82" s="50" t="s">
        <v>92</v>
      </c>
      <c r="F82" s="142">
        <f t="shared" ref="F82:Q94" si="3">ROUND(SUMIF($E$6:$E$53,$E82,F$6:F$53),0)</f>
        <v>0</v>
      </c>
      <c r="G82" s="142">
        <f t="shared" si="3"/>
        <v>0</v>
      </c>
      <c r="H82" s="142">
        <f t="shared" si="3"/>
        <v>0</v>
      </c>
      <c r="I82" s="142">
        <f t="shared" si="3"/>
        <v>0</v>
      </c>
      <c r="J82" s="142">
        <f t="shared" si="3"/>
        <v>0</v>
      </c>
      <c r="K82" s="142">
        <f t="shared" si="3"/>
        <v>0</v>
      </c>
      <c r="L82" s="142">
        <f t="shared" si="3"/>
        <v>0</v>
      </c>
      <c r="M82" s="142">
        <f t="shared" si="3"/>
        <v>0</v>
      </c>
      <c r="N82" s="142">
        <f t="shared" si="3"/>
        <v>0</v>
      </c>
      <c r="O82" s="52">
        <f t="shared" si="3"/>
        <v>0</v>
      </c>
      <c r="P82" s="52">
        <f t="shared" si="3"/>
        <v>0</v>
      </c>
      <c r="Q82" s="52">
        <f t="shared" si="3"/>
        <v>0</v>
      </c>
    </row>
    <row r="83" spans="1:17" ht="13.2" hidden="1">
      <c r="A83" s="50" t="s">
        <v>147</v>
      </c>
      <c r="B83" s="50"/>
      <c r="C83" s="50"/>
      <c r="D83" s="50"/>
      <c r="E83" s="50" t="s">
        <v>93</v>
      </c>
      <c r="F83" s="142">
        <f t="shared" si="3"/>
        <v>0</v>
      </c>
      <c r="G83" s="142">
        <f t="shared" si="3"/>
        <v>0</v>
      </c>
      <c r="H83" s="142">
        <f t="shared" si="3"/>
        <v>0</v>
      </c>
      <c r="I83" s="142">
        <f t="shared" si="3"/>
        <v>0</v>
      </c>
      <c r="J83" s="142">
        <f t="shared" si="3"/>
        <v>0</v>
      </c>
      <c r="K83" s="142">
        <f t="shared" si="3"/>
        <v>0</v>
      </c>
      <c r="L83" s="142">
        <f t="shared" si="3"/>
        <v>0</v>
      </c>
      <c r="M83" s="142">
        <f t="shared" si="3"/>
        <v>0</v>
      </c>
      <c r="N83" s="142">
        <f t="shared" si="3"/>
        <v>0</v>
      </c>
      <c r="O83" s="52">
        <f t="shared" si="3"/>
        <v>0</v>
      </c>
      <c r="P83" s="52">
        <f t="shared" si="3"/>
        <v>0</v>
      </c>
      <c r="Q83" s="52">
        <f t="shared" si="3"/>
        <v>0</v>
      </c>
    </row>
    <row r="84" spans="1:17" ht="13.2" hidden="1">
      <c r="A84" s="50" t="s">
        <v>148</v>
      </c>
      <c r="B84" s="50"/>
      <c r="C84" s="50"/>
      <c r="D84" s="50"/>
      <c r="E84" s="50" t="s">
        <v>94</v>
      </c>
      <c r="F84" s="142">
        <f t="shared" si="3"/>
        <v>0</v>
      </c>
      <c r="G84" s="142">
        <f t="shared" si="3"/>
        <v>0</v>
      </c>
      <c r="H84" s="142">
        <f t="shared" si="3"/>
        <v>0</v>
      </c>
      <c r="I84" s="142">
        <f t="shared" si="3"/>
        <v>0</v>
      </c>
      <c r="J84" s="142">
        <f t="shared" si="3"/>
        <v>0</v>
      </c>
      <c r="K84" s="142">
        <f t="shared" si="3"/>
        <v>0</v>
      </c>
      <c r="L84" s="142">
        <f t="shared" si="3"/>
        <v>0</v>
      </c>
      <c r="M84" s="142">
        <f t="shared" si="3"/>
        <v>0</v>
      </c>
      <c r="N84" s="142">
        <f t="shared" si="3"/>
        <v>0</v>
      </c>
      <c r="O84" s="52">
        <f t="shared" si="3"/>
        <v>0</v>
      </c>
      <c r="P84" s="52">
        <f t="shared" si="3"/>
        <v>0</v>
      </c>
      <c r="Q84" s="52">
        <f t="shared" si="3"/>
        <v>0</v>
      </c>
    </row>
    <row r="85" spans="1:17" ht="13.2" hidden="1">
      <c r="A85" s="50" t="s">
        <v>149</v>
      </c>
      <c r="B85" s="50"/>
      <c r="C85" s="50"/>
      <c r="D85" s="50"/>
      <c r="E85" s="50" t="s">
        <v>117</v>
      </c>
      <c r="F85" s="142">
        <f t="shared" si="3"/>
        <v>0</v>
      </c>
      <c r="G85" s="142">
        <f t="shared" si="3"/>
        <v>0</v>
      </c>
      <c r="H85" s="142">
        <f t="shared" si="3"/>
        <v>0</v>
      </c>
      <c r="I85" s="142">
        <f t="shared" si="3"/>
        <v>0</v>
      </c>
      <c r="J85" s="142">
        <f t="shared" si="3"/>
        <v>0</v>
      </c>
      <c r="K85" s="142">
        <f t="shared" si="3"/>
        <v>0</v>
      </c>
      <c r="L85" s="142">
        <f t="shared" si="3"/>
        <v>0</v>
      </c>
      <c r="M85" s="142">
        <f t="shared" si="3"/>
        <v>0</v>
      </c>
      <c r="N85" s="142">
        <f t="shared" si="3"/>
        <v>0</v>
      </c>
      <c r="O85" s="52">
        <f t="shared" si="3"/>
        <v>0</v>
      </c>
      <c r="P85" s="52">
        <f t="shared" si="3"/>
        <v>0</v>
      </c>
      <c r="Q85" s="52">
        <f t="shared" si="3"/>
        <v>0</v>
      </c>
    </row>
    <row r="86" spans="1:17" ht="13.2" hidden="1">
      <c r="A86" s="50" t="s">
        <v>150</v>
      </c>
      <c r="B86" s="50"/>
      <c r="C86" s="50"/>
      <c r="D86" s="50"/>
      <c r="E86" s="50" t="s">
        <v>118</v>
      </c>
      <c r="F86" s="142">
        <f t="shared" si="3"/>
        <v>0</v>
      </c>
      <c r="G86" s="142">
        <f t="shared" si="3"/>
        <v>0</v>
      </c>
      <c r="H86" s="142">
        <f t="shared" si="3"/>
        <v>0</v>
      </c>
      <c r="I86" s="142">
        <f t="shared" si="3"/>
        <v>0</v>
      </c>
      <c r="J86" s="142">
        <f t="shared" si="3"/>
        <v>0</v>
      </c>
      <c r="K86" s="142">
        <f t="shared" si="3"/>
        <v>0</v>
      </c>
      <c r="L86" s="142">
        <f t="shared" si="3"/>
        <v>0</v>
      </c>
      <c r="M86" s="142">
        <f t="shared" si="3"/>
        <v>0</v>
      </c>
      <c r="N86" s="142">
        <f t="shared" si="3"/>
        <v>0</v>
      </c>
      <c r="O86" s="52">
        <f t="shared" si="3"/>
        <v>0</v>
      </c>
      <c r="P86" s="52">
        <f t="shared" si="3"/>
        <v>0</v>
      </c>
      <c r="Q86" s="52">
        <f t="shared" si="3"/>
        <v>0</v>
      </c>
    </row>
    <row r="87" spans="1:17" ht="13.2" hidden="1">
      <c r="A87" s="50" t="s">
        <v>151</v>
      </c>
      <c r="B87" s="50"/>
      <c r="C87" s="50"/>
      <c r="D87" s="50"/>
      <c r="E87" s="50" t="s">
        <v>119</v>
      </c>
      <c r="F87" s="142">
        <f t="shared" si="3"/>
        <v>0</v>
      </c>
      <c r="G87" s="142">
        <f t="shared" si="3"/>
        <v>0</v>
      </c>
      <c r="H87" s="142">
        <f t="shared" si="3"/>
        <v>0</v>
      </c>
      <c r="I87" s="142">
        <f t="shared" si="3"/>
        <v>0</v>
      </c>
      <c r="J87" s="142">
        <f t="shared" si="3"/>
        <v>0</v>
      </c>
      <c r="K87" s="142">
        <f t="shared" si="3"/>
        <v>0</v>
      </c>
      <c r="L87" s="142">
        <f t="shared" si="3"/>
        <v>0</v>
      </c>
      <c r="M87" s="142">
        <f t="shared" si="3"/>
        <v>0</v>
      </c>
      <c r="N87" s="142">
        <f t="shared" si="3"/>
        <v>0</v>
      </c>
      <c r="O87" s="52">
        <f t="shared" si="3"/>
        <v>0</v>
      </c>
      <c r="P87" s="52">
        <f t="shared" si="3"/>
        <v>0</v>
      </c>
      <c r="Q87" s="52">
        <f t="shared" si="3"/>
        <v>0</v>
      </c>
    </row>
    <row r="88" spans="1:17" ht="13.2" hidden="1">
      <c r="A88" s="50" t="s">
        <v>152</v>
      </c>
      <c r="B88" s="50"/>
      <c r="C88" s="50"/>
      <c r="D88" s="50"/>
      <c r="E88" s="50" t="s">
        <v>120</v>
      </c>
      <c r="F88" s="142">
        <f t="shared" si="3"/>
        <v>0</v>
      </c>
      <c r="G88" s="142">
        <f t="shared" si="3"/>
        <v>0</v>
      </c>
      <c r="H88" s="142">
        <f t="shared" si="3"/>
        <v>0</v>
      </c>
      <c r="I88" s="142">
        <f t="shared" si="3"/>
        <v>0</v>
      </c>
      <c r="J88" s="142">
        <f t="shared" si="3"/>
        <v>0</v>
      </c>
      <c r="K88" s="142">
        <f t="shared" si="3"/>
        <v>0</v>
      </c>
      <c r="L88" s="142">
        <f t="shared" si="3"/>
        <v>0</v>
      </c>
      <c r="M88" s="142">
        <f t="shared" si="3"/>
        <v>0</v>
      </c>
      <c r="N88" s="142">
        <f t="shared" si="3"/>
        <v>0</v>
      </c>
      <c r="O88" s="52">
        <f t="shared" si="3"/>
        <v>0</v>
      </c>
      <c r="P88" s="52">
        <f t="shared" si="3"/>
        <v>0</v>
      </c>
      <c r="Q88" s="52">
        <f t="shared" si="3"/>
        <v>0</v>
      </c>
    </row>
    <row r="89" spans="1:17" ht="13.2" hidden="1">
      <c r="A89" s="50" t="s">
        <v>153</v>
      </c>
      <c r="B89" s="50"/>
      <c r="C89" s="50"/>
      <c r="D89" s="50"/>
      <c r="E89" s="50" t="s">
        <v>121</v>
      </c>
      <c r="F89" s="142">
        <f t="shared" si="3"/>
        <v>0</v>
      </c>
      <c r="G89" s="142">
        <f t="shared" si="3"/>
        <v>0</v>
      </c>
      <c r="H89" s="142">
        <f t="shared" si="3"/>
        <v>0</v>
      </c>
      <c r="I89" s="142">
        <f t="shared" si="3"/>
        <v>0</v>
      </c>
      <c r="J89" s="142">
        <f t="shared" si="3"/>
        <v>0</v>
      </c>
      <c r="K89" s="142">
        <f t="shared" si="3"/>
        <v>0</v>
      </c>
      <c r="L89" s="142">
        <f t="shared" si="3"/>
        <v>0</v>
      </c>
      <c r="M89" s="142">
        <f t="shared" si="3"/>
        <v>0</v>
      </c>
      <c r="N89" s="142">
        <f t="shared" si="3"/>
        <v>0</v>
      </c>
      <c r="O89" s="52">
        <f t="shared" si="3"/>
        <v>0</v>
      </c>
      <c r="P89" s="52">
        <f t="shared" si="3"/>
        <v>0</v>
      </c>
      <c r="Q89" s="52">
        <f t="shared" si="3"/>
        <v>0</v>
      </c>
    </row>
    <row r="90" spans="1:17" ht="13.2" hidden="1">
      <c r="A90" s="50" t="s">
        <v>154</v>
      </c>
      <c r="B90" s="50"/>
      <c r="C90" s="50"/>
      <c r="D90" s="50"/>
      <c r="E90" s="50" t="s">
        <v>122</v>
      </c>
      <c r="F90" s="142">
        <f t="shared" si="3"/>
        <v>0</v>
      </c>
      <c r="G90" s="142">
        <f t="shared" si="3"/>
        <v>0</v>
      </c>
      <c r="H90" s="142">
        <f t="shared" si="3"/>
        <v>0</v>
      </c>
      <c r="I90" s="142">
        <f t="shared" si="3"/>
        <v>0</v>
      </c>
      <c r="J90" s="142">
        <f t="shared" si="3"/>
        <v>0</v>
      </c>
      <c r="K90" s="142">
        <f t="shared" si="3"/>
        <v>0</v>
      </c>
      <c r="L90" s="142">
        <f t="shared" si="3"/>
        <v>0</v>
      </c>
      <c r="M90" s="142">
        <f t="shared" si="3"/>
        <v>0</v>
      </c>
      <c r="N90" s="142">
        <f t="shared" si="3"/>
        <v>0</v>
      </c>
      <c r="O90" s="52">
        <f t="shared" si="3"/>
        <v>0</v>
      </c>
      <c r="P90" s="52">
        <f t="shared" si="3"/>
        <v>0</v>
      </c>
      <c r="Q90" s="52">
        <f t="shared" si="3"/>
        <v>0</v>
      </c>
    </row>
    <row r="91" spans="1:17" ht="13.2" hidden="1">
      <c r="A91" s="50" t="s">
        <v>155</v>
      </c>
      <c r="B91" s="50"/>
      <c r="C91" s="50"/>
      <c r="D91" s="50"/>
      <c r="E91" s="50" t="s">
        <v>125</v>
      </c>
      <c r="F91" s="142">
        <f t="shared" si="3"/>
        <v>0</v>
      </c>
      <c r="G91" s="142">
        <f t="shared" si="3"/>
        <v>0</v>
      </c>
      <c r="H91" s="142">
        <f t="shared" si="3"/>
        <v>0</v>
      </c>
      <c r="I91" s="142">
        <f t="shared" si="3"/>
        <v>0</v>
      </c>
      <c r="J91" s="142">
        <f t="shared" si="3"/>
        <v>0</v>
      </c>
      <c r="K91" s="142">
        <f t="shared" si="3"/>
        <v>0</v>
      </c>
      <c r="L91" s="142">
        <f t="shared" si="3"/>
        <v>0</v>
      </c>
      <c r="M91" s="142">
        <f t="shared" si="3"/>
        <v>0</v>
      </c>
      <c r="N91" s="142">
        <f t="shared" si="3"/>
        <v>0</v>
      </c>
      <c r="O91" s="52">
        <f t="shared" si="3"/>
        <v>0</v>
      </c>
      <c r="P91" s="52">
        <f t="shared" si="3"/>
        <v>0</v>
      </c>
      <c r="Q91" s="52">
        <f t="shared" si="3"/>
        <v>0</v>
      </c>
    </row>
    <row r="92" spans="1:17" ht="13.2" hidden="1">
      <c r="A92" s="50" t="s">
        <v>156</v>
      </c>
      <c r="B92" s="50"/>
      <c r="C92" s="50"/>
      <c r="D92" s="50"/>
      <c r="E92" s="50" t="s">
        <v>123</v>
      </c>
      <c r="F92" s="142">
        <f t="shared" si="3"/>
        <v>0</v>
      </c>
      <c r="G92" s="142">
        <f t="shared" si="3"/>
        <v>0</v>
      </c>
      <c r="H92" s="142">
        <f t="shared" si="3"/>
        <v>0</v>
      </c>
      <c r="I92" s="142">
        <f t="shared" si="3"/>
        <v>0</v>
      </c>
      <c r="J92" s="142">
        <f t="shared" si="3"/>
        <v>0</v>
      </c>
      <c r="K92" s="142">
        <f t="shared" si="3"/>
        <v>0</v>
      </c>
      <c r="L92" s="142">
        <f t="shared" si="3"/>
        <v>0</v>
      </c>
      <c r="M92" s="142">
        <f t="shared" si="3"/>
        <v>0</v>
      </c>
      <c r="N92" s="142">
        <f t="shared" si="3"/>
        <v>0</v>
      </c>
      <c r="O92" s="52">
        <f t="shared" si="3"/>
        <v>0</v>
      </c>
      <c r="P92" s="52">
        <f t="shared" si="3"/>
        <v>0</v>
      </c>
      <c r="Q92" s="52">
        <f t="shared" si="3"/>
        <v>0</v>
      </c>
    </row>
    <row r="93" spans="1:17" ht="13.2" hidden="1">
      <c r="A93" s="50" t="s">
        <v>157</v>
      </c>
      <c r="B93" s="50"/>
      <c r="C93" s="50"/>
      <c r="D93" s="50"/>
      <c r="E93" s="50" t="s">
        <v>124</v>
      </c>
      <c r="F93" s="142">
        <f t="shared" si="3"/>
        <v>0</v>
      </c>
      <c r="G93" s="142">
        <f t="shared" si="3"/>
        <v>0</v>
      </c>
      <c r="H93" s="142">
        <f t="shared" si="3"/>
        <v>0</v>
      </c>
      <c r="I93" s="142">
        <f t="shared" si="3"/>
        <v>0</v>
      </c>
      <c r="J93" s="142">
        <f t="shared" si="3"/>
        <v>0</v>
      </c>
      <c r="K93" s="142">
        <f t="shared" si="3"/>
        <v>0</v>
      </c>
      <c r="L93" s="142">
        <f t="shared" si="3"/>
        <v>0</v>
      </c>
      <c r="M93" s="142">
        <f t="shared" si="3"/>
        <v>0</v>
      </c>
      <c r="N93" s="142">
        <f t="shared" si="3"/>
        <v>0</v>
      </c>
      <c r="O93" s="52">
        <f t="shared" si="3"/>
        <v>0</v>
      </c>
      <c r="P93" s="52">
        <f t="shared" si="3"/>
        <v>0</v>
      </c>
      <c r="Q93" s="52">
        <f t="shared" si="3"/>
        <v>0</v>
      </c>
    </row>
    <row r="94" spans="1:17" ht="13.2" hidden="1">
      <c r="A94" s="50" t="s">
        <v>158</v>
      </c>
      <c r="B94" s="50"/>
      <c r="C94" s="50"/>
      <c r="D94" s="50"/>
      <c r="E94" s="50" t="s">
        <v>126</v>
      </c>
      <c r="F94" s="142">
        <f t="shared" si="3"/>
        <v>0</v>
      </c>
      <c r="G94" s="142">
        <f t="shared" si="3"/>
        <v>0</v>
      </c>
      <c r="H94" s="142">
        <f t="shared" si="3"/>
        <v>0</v>
      </c>
      <c r="I94" s="142">
        <f t="shared" si="3"/>
        <v>0</v>
      </c>
      <c r="J94" s="142">
        <f t="shared" si="3"/>
        <v>0</v>
      </c>
      <c r="K94" s="142">
        <f t="shared" si="3"/>
        <v>0</v>
      </c>
      <c r="L94" s="142">
        <f t="shared" si="3"/>
        <v>0</v>
      </c>
      <c r="M94" s="142">
        <f t="shared" si="3"/>
        <v>0</v>
      </c>
      <c r="N94" s="142">
        <f t="shared" si="3"/>
        <v>0</v>
      </c>
      <c r="O94" s="52">
        <f t="shared" si="3"/>
        <v>0</v>
      </c>
      <c r="P94" s="52">
        <f t="shared" si="3"/>
        <v>0</v>
      </c>
      <c r="Q94" s="52">
        <f t="shared" si="3"/>
        <v>0</v>
      </c>
    </row>
    <row r="95" spans="1:17" ht="13.2">
      <c r="A95" s="50"/>
      <c r="B95" s="50"/>
      <c r="C95" s="50"/>
      <c r="D95" s="50"/>
      <c r="E95" s="50"/>
      <c r="F95" s="54"/>
      <c r="G95" s="71"/>
      <c r="H95" s="54"/>
      <c r="I95" s="54"/>
      <c r="J95" s="54"/>
      <c r="K95" s="54"/>
      <c r="L95" s="54"/>
      <c r="M95" s="54"/>
      <c r="N95" s="54"/>
      <c r="O95" s="50"/>
      <c r="P95" s="50"/>
      <c r="Q95" s="50"/>
    </row>
    <row r="97" spans="1:17" ht="13.2">
      <c r="A97" s="50" t="s">
        <v>159</v>
      </c>
      <c r="B97" s="50"/>
      <c r="C97" s="50"/>
      <c r="D97" s="50"/>
      <c r="E97" s="50"/>
      <c r="F97" s="54"/>
      <c r="G97" s="71"/>
      <c r="H97" s="54"/>
      <c r="I97" s="54"/>
      <c r="J97" s="54"/>
      <c r="K97" s="54"/>
      <c r="L97" s="54"/>
      <c r="M97" s="54"/>
      <c r="N97" s="54"/>
      <c r="O97" s="50"/>
      <c r="P97" s="50"/>
      <c r="Q97" s="50"/>
    </row>
    <row r="98" spans="1:17" ht="13.2">
      <c r="A98" s="50"/>
      <c r="B98" s="50"/>
      <c r="C98" s="50"/>
      <c r="D98" s="50"/>
      <c r="E98" s="51"/>
      <c r="F98" s="54"/>
      <c r="G98" s="71"/>
      <c r="H98" s="54"/>
      <c r="I98" s="54"/>
      <c r="J98" s="54"/>
      <c r="K98" s="54"/>
      <c r="L98" s="54"/>
      <c r="M98" s="54"/>
      <c r="N98" s="54"/>
      <c r="O98" s="50"/>
      <c r="P98" s="50"/>
      <c r="Q98" s="50"/>
    </row>
    <row r="99" spans="1:17" ht="13.2">
      <c r="A99" s="50"/>
      <c r="B99" s="50"/>
      <c r="C99" s="50"/>
      <c r="D99" s="50"/>
      <c r="E99" s="51"/>
      <c r="F99" s="54"/>
      <c r="G99" s="71"/>
      <c r="H99" s="54"/>
      <c r="I99" s="54"/>
      <c r="J99" s="54"/>
      <c r="K99" s="54"/>
      <c r="L99" s="54"/>
      <c r="M99" s="54"/>
      <c r="N99" s="54"/>
      <c r="O99" s="50"/>
      <c r="P99" s="50"/>
      <c r="Q99" s="50"/>
    </row>
    <row r="100" spans="1:17" ht="13.2">
      <c r="A100" s="50"/>
      <c r="B100" s="50"/>
      <c r="C100" s="50"/>
      <c r="D100" s="50"/>
      <c r="E100" s="50"/>
      <c r="F100" s="141" t="str">
        <f t="shared" ref="F100:Q100" si="4">F4</f>
        <v>201801</v>
      </c>
      <c r="G100" s="141" t="str">
        <f t="shared" si="4"/>
        <v>201802</v>
      </c>
      <c r="H100" s="141" t="str">
        <f t="shared" si="4"/>
        <v>201803</v>
      </c>
      <c r="I100" s="141" t="str">
        <f t="shared" si="4"/>
        <v>201804</v>
      </c>
      <c r="J100" s="141" t="str">
        <f t="shared" si="4"/>
        <v>201805</v>
      </c>
      <c r="K100" s="141" t="str">
        <f t="shared" si="4"/>
        <v>201806</v>
      </c>
      <c r="L100" s="141" t="str">
        <f t="shared" si="4"/>
        <v>201807</v>
      </c>
      <c r="M100" s="141" t="str">
        <f t="shared" si="4"/>
        <v>201808</v>
      </c>
      <c r="N100" s="141" t="str">
        <f t="shared" si="4"/>
        <v>201809</v>
      </c>
      <c r="O100" s="53" t="str">
        <f t="shared" si="4"/>
        <v>201810</v>
      </c>
      <c r="P100" s="53" t="str">
        <f t="shared" si="4"/>
        <v>201811</v>
      </c>
      <c r="Q100" s="53" t="str">
        <f t="shared" si="4"/>
        <v>201812</v>
      </c>
    </row>
    <row r="101" spans="1:17" ht="13.2">
      <c r="A101" s="50" t="s">
        <v>178</v>
      </c>
      <c r="B101" s="50"/>
      <c r="C101" s="50"/>
      <c r="D101" s="50"/>
      <c r="E101" s="50" t="s">
        <v>55</v>
      </c>
      <c r="F101" s="142">
        <f t="shared" ref="F101:Q110" si="5">ROUND(SUMIF($E$6:$E$53,$E101,F$6:F$53),0)</f>
        <v>148402</v>
      </c>
      <c r="G101" s="142">
        <f t="shared" si="5"/>
        <v>148270</v>
      </c>
      <c r="H101" s="142">
        <f t="shared" si="5"/>
        <v>149129</v>
      </c>
      <c r="I101" s="142">
        <f t="shared" si="5"/>
        <v>148905</v>
      </c>
      <c r="J101" s="142">
        <f t="shared" si="5"/>
        <v>149242</v>
      </c>
      <c r="K101" s="142">
        <f t="shared" si="5"/>
        <v>149146</v>
      </c>
      <c r="L101" s="142">
        <f t="shared" si="5"/>
        <v>149489</v>
      </c>
      <c r="M101" s="142">
        <f t="shared" si="5"/>
        <v>149789</v>
      </c>
      <c r="N101" s="142">
        <f t="shared" si="5"/>
        <v>148593</v>
      </c>
      <c r="O101" s="52">
        <f t="shared" si="5"/>
        <v>152165</v>
      </c>
      <c r="P101" s="52">
        <f t="shared" si="5"/>
        <v>151209</v>
      </c>
      <c r="Q101" s="52">
        <f t="shared" si="5"/>
        <v>151675</v>
      </c>
    </row>
    <row r="102" spans="1:17" ht="13.2">
      <c r="A102" s="50" t="s">
        <v>179</v>
      </c>
      <c r="B102" s="50"/>
      <c r="C102" s="50"/>
      <c r="D102" s="50"/>
      <c r="E102" s="50" t="s">
        <v>56</v>
      </c>
      <c r="F102" s="142">
        <f t="shared" si="5"/>
        <v>12105</v>
      </c>
      <c r="G102" s="142">
        <f t="shared" si="5"/>
        <v>12009</v>
      </c>
      <c r="H102" s="142">
        <f t="shared" si="5"/>
        <v>12000</v>
      </c>
      <c r="I102" s="142">
        <f t="shared" si="5"/>
        <v>11933</v>
      </c>
      <c r="J102" s="142">
        <f t="shared" si="5"/>
        <v>12033</v>
      </c>
      <c r="K102" s="142">
        <f t="shared" si="5"/>
        <v>12004</v>
      </c>
      <c r="L102" s="142">
        <f t="shared" si="5"/>
        <v>12003</v>
      </c>
      <c r="M102" s="142">
        <f t="shared" si="5"/>
        <v>12011</v>
      </c>
      <c r="N102" s="142">
        <f t="shared" si="5"/>
        <v>11705</v>
      </c>
      <c r="O102" s="52">
        <f t="shared" si="5"/>
        <v>12338</v>
      </c>
      <c r="P102" s="52">
        <f t="shared" si="5"/>
        <v>12078</v>
      </c>
      <c r="Q102" s="52">
        <f t="shared" si="5"/>
        <v>12077</v>
      </c>
    </row>
    <row r="103" spans="1:17" ht="13.2">
      <c r="A103" s="50" t="s">
        <v>180</v>
      </c>
      <c r="B103" s="50"/>
      <c r="C103" s="50"/>
      <c r="D103" s="50"/>
      <c r="E103" s="50" t="s">
        <v>57</v>
      </c>
      <c r="F103" s="142">
        <f t="shared" si="5"/>
        <v>77</v>
      </c>
      <c r="G103" s="142">
        <f t="shared" si="5"/>
        <v>73</v>
      </c>
      <c r="H103" s="142">
        <f t="shared" si="5"/>
        <v>72</v>
      </c>
      <c r="I103" s="142">
        <f t="shared" si="5"/>
        <v>71</v>
      </c>
      <c r="J103" s="142">
        <f t="shared" si="5"/>
        <v>71</v>
      </c>
      <c r="K103" s="142">
        <f t="shared" si="5"/>
        <v>72</v>
      </c>
      <c r="L103" s="142">
        <f t="shared" si="5"/>
        <v>71</v>
      </c>
      <c r="M103" s="142">
        <f t="shared" si="5"/>
        <v>72</v>
      </c>
      <c r="N103" s="142">
        <f t="shared" si="5"/>
        <v>69</v>
      </c>
      <c r="O103" s="52">
        <f t="shared" si="5"/>
        <v>75</v>
      </c>
      <c r="P103" s="52">
        <f t="shared" si="5"/>
        <v>71</v>
      </c>
      <c r="Q103" s="52">
        <f t="shared" si="5"/>
        <v>72</v>
      </c>
    </row>
    <row r="104" spans="1:17" ht="13.2">
      <c r="A104" s="50" t="s">
        <v>181</v>
      </c>
      <c r="B104" s="50"/>
      <c r="C104" s="50"/>
      <c r="D104" s="50"/>
      <c r="E104" s="50" t="s">
        <v>58</v>
      </c>
      <c r="F104" s="142">
        <f t="shared" si="5"/>
        <v>160611</v>
      </c>
      <c r="G104" s="142">
        <f t="shared" si="5"/>
        <v>160378</v>
      </c>
      <c r="H104" s="142">
        <f t="shared" si="5"/>
        <v>161228</v>
      </c>
      <c r="I104" s="142">
        <f t="shared" si="5"/>
        <v>160935</v>
      </c>
      <c r="J104" s="142">
        <f t="shared" si="5"/>
        <v>161371</v>
      </c>
      <c r="K104" s="142">
        <f t="shared" si="5"/>
        <v>161247</v>
      </c>
      <c r="L104" s="142">
        <f t="shared" si="5"/>
        <v>161588</v>
      </c>
      <c r="M104" s="142">
        <f t="shared" si="5"/>
        <v>161900</v>
      </c>
      <c r="N104" s="142">
        <f t="shared" si="5"/>
        <v>160395</v>
      </c>
      <c r="O104" s="52">
        <f t="shared" si="5"/>
        <v>164606</v>
      </c>
      <c r="P104" s="52">
        <f t="shared" si="5"/>
        <v>163386</v>
      </c>
      <c r="Q104" s="52">
        <f t="shared" si="5"/>
        <v>163850</v>
      </c>
    </row>
    <row r="105" spans="1:17" ht="13.2">
      <c r="A105" s="50" t="s">
        <v>182</v>
      </c>
      <c r="B105" s="50"/>
      <c r="C105" s="50"/>
      <c r="D105" s="50"/>
      <c r="E105" s="50" t="s">
        <v>59</v>
      </c>
      <c r="F105" s="142">
        <f t="shared" si="5"/>
        <v>290</v>
      </c>
      <c r="G105" s="142">
        <f t="shared" si="5"/>
        <v>282</v>
      </c>
      <c r="H105" s="142">
        <f t="shared" si="5"/>
        <v>287</v>
      </c>
      <c r="I105" s="142">
        <f t="shared" si="5"/>
        <v>285</v>
      </c>
      <c r="J105" s="142">
        <f t="shared" si="5"/>
        <v>284</v>
      </c>
      <c r="K105" s="142">
        <f t="shared" si="5"/>
        <v>283</v>
      </c>
      <c r="L105" s="142">
        <f t="shared" si="5"/>
        <v>285</v>
      </c>
      <c r="M105" s="142">
        <f t="shared" si="5"/>
        <v>284</v>
      </c>
      <c r="N105" s="142">
        <f t="shared" si="5"/>
        <v>283</v>
      </c>
      <c r="O105" s="52">
        <f t="shared" si="5"/>
        <v>295</v>
      </c>
      <c r="P105" s="52">
        <f t="shared" si="5"/>
        <v>292</v>
      </c>
      <c r="Q105" s="52">
        <f t="shared" si="5"/>
        <v>301</v>
      </c>
    </row>
    <row r="106" spans="1:17" ht="13.2">
      <c r="A106" s="50" t="s">
        <v>183</v>
      </c>
      <c r="B106" s="50"/>
      <c r="C106" s="50"/>
      <c r="D106" s="50"/>
      <c r="E106" s="50" t="s">
        <v>60</v>
      </c>
      <c r="F106" s="142">
        <f t="shared" si="5"/>
        <v>2639</v>
      </c>
      <c r="G106" s="142">
        <f t="shared" si="5"/>
        <v>2662</v>
      </c>
      <c r="H106" s="142">
        <f t="shared" si="5"/>
        <v>2714</v>
      </c>
      <c r="I106" s="142">
        <f t="shared" si="5"/>
        <v>2704</v>
      </c>
      <c r="J106" s="142">
        <f t="shared" si="5"/>
        <v>2684</v>
      </c>
      <c r="K106" s="142">
        <f t="shared" si="5"/>
        <v>2709</v>
      </c>
      <c r="L106" s="142">
        <f t="shared" si="5"/>
        <v>2696</v>
      </c>
      <c r="M106" s="142">
        <f t="shared" si="5"/>
        <v>2691</v>
      </c>
      <c r="N106" s="142">
        <f t="shared" si="5"/>
        <v>2627</v>
      </c>
      <c r="O106" s="52">
        <f t="shared" si="5"/>
        <v>2755</v>
      </c>
      <c r="P106" s="52">
        <f t="shared" si="5"/>
        <v>2693</v>
      </c>
      <c r="Q106" s="52">
        <f t="shared" si="5"/>
        <v>2732</v>
      </c>
    </row>
    <row r="107" spans="1:17" ht="13.2">
      <c r="A107" s="50" t="s">
        <v>184</v>
      </c>
      <c r="B107" s="50"/>
      <c r="C107" s="50"/>
      <c r="D107" s="50"/>
      <c r="E107" s="50" t="s">
        <v>61</v>
      </c>
      <c r="F107" s="142">
        <f t="shared" si="5"/>
        <v>54</v>
      </c>
      <c r="G107" s="142">
        <f t="shared" si="5"/>
        <v>53</v>
      </c>
      <c r="H107" s="142">
        <f t="shared" si="5"/>
        <v>55</v>
      </c>
      <c r="I107" s="142">
        <f t="shared" si="5"/>
        <v>55</v>
      </c>
      <c r="J107" s="142">
        <f t="shared" si="5"/>
        <v>55</v>
      </c>
      <c r="K107" s="142">
        <f t="shared" si="5"/>
        <v>54</v>
      </c>
      <c r="L107" s="142">
        <f t="shared" si="5"/>
        <v>56</v>
      </c>
      <c r="M107" s="142">
        <f t="shared" si="5"/>
        <v>55</v>
      </c>
      <c r="N107" s="142">
        <f t="shared" si="5"/>
        <v>50</v>
      </c>
      <c r="O107" s="52">
        <f t="shared" si="5"/>
        <v>56</v>
      </c>
      <c r="P107" s="52">
        <f t="shared" si="5"/>
        <v>54</v>
      </c>
      <c r="Q107" s="52">
        <f t="shared" si="5"/>
        <v>56</v>
      </c>
    </row>
    <row r="108" spans="1:17" ht="13.2">
      <c r="A108" s="50" t="s">
        <v>185</v>
      </c>
      <c r="B108" s="50"/>
      <c r="C108" s="50"/>
      <c r="D108" s="50"/>
      <c r="E108" s="50" t="s">
        <v>173</v>
      </c>
      <c r="F108" s="142">
        <f t="shared" si="5"/>
        <v>3000</v>
      </c>
      <c r="G108" s="142">
        <f t="shared" si="5"/>
        <v>3014</v>
      </c>
      <c r="H108" s="142">
        <f t="shared" si="5"/>
        <v>3074</v>
      </c>
      <c r="I108" s="142">
        <f t="shared" si="5"/>
        <v>3063</v>
      </c>
      <c r="J108" s="142">
        <f t="shared" si="5"/>
        <v>3043</v>
      </c>
      <c r="K108" s="142">
        <f t="shared" si="5"/>
        <v>3066</v>
      </c>
      <c r="L108" s="142">
        <f t="shared" si="5"/>
        <v>3055</v>
      </c>
      <c r="M108" s="142">
        <f t="shared" si="5"/>
        <v>3046</v>
      </c>
      <c r="N108" s="142">
        <f t="shared" si="5"/>
        <v>2976</v>
      </c>
      <c r="O108" s="52">
        <f t="shared" si="5"/>
        <v>3122</v>
      </c>
      <c r="P108" s="52">
        <f t="shared" si="5"/>
        <v>3055</v>
      </c>
      <c r="Q108" s="52">
        <f t="shared" si="5"/>
        <v>3107</v>
      </c>
    </row>
    <row r="109" spans="1:17" ht="13.2">
      <c r="A109" s="50" t="s">
        <v>186</v>
      </c>
      <c r="B109" s="50"/>
      <c r="C109" s="50"/>
      <c r="D109" s="50"/>
      <c r="E109" s="50" t="s">
        <v>187</v>
      </c>
      <c r="F109" s="142">
        <f t="shared" si="5"/>
        <v>0</v>
      </c>
      <c r="G109" s="142">
        <f t="shared" si="5"/>
        <v>0</v>
      </c>
      <c r="H109" s="142">
        <f t="shared" si="5"/>
        <v>0</v>
      </c>
      <c r="I109" s="142">
        <f t="shared" si="5"/>
        <v>0</v>
      </c>
      <c r="J109" s="142">
        <f t="shared" si="5"/>
        <v>0</v>
      </c>
      <c r="K109" s="142">
        <f t="shared" si="5"/>
        <v>0</v>
      </c>
      <c r="L109" s="142">
        <f t="shared" si="5"/>
        <v>0</v>
      </c>
      <c r="M109" s="142">
        <f t="shared" si="5"/>
        <v>0</v>
      </c>
      <c r="N109" s="142">
        <f t="shared" si="5"/>
        <v>0</v>
      </c>
      <c r="O109" s="52">
        <f t="shared" si="5"/>
        <v>0</v>
      </c>
      <c r="P109" s="52">
        <f t="shared" si="5"/>
        <v>0</v>
      </c>
      <c r="Q109" s="52">
        <f t="shared" si="5"/>
        <v>0</v>
      </c>
    </row>
    <row r="110" spans="1:17" ht="13.2">
      <c r="A110" s="50" t="s">
        <v>188</v>
      </c>
      <c r="B110" s="50"/>
      <c r="C110" s="50"/>
      <c r="D110" s="50"/>
      <c r="E110" s="50" t="s">
        <v>62</v>
      </c>
      <c r="F110" s="142">
        <f t="shared" si="5"/>
        <v>20</v>
      </c>
      <c r="G110" s="142">
        <f t="shared" si="5"/>
        <v>20</v>
      </c>
      <c r="H110" s="142">
        <f t="shared" si="5"/>
        <v>20</v>
      </c>
      <c r="I110" s="142">
        <f t="shared" si="5"/>
        <v>20</v>
      </c>
      <c r="J110" s="142">
        <f t="shared" si="5"/>
        <v>20</v>
      </c>
      <c r="K110" s="142">
        <f t="shared" si="5"/>
        <v>20</v>
      </c>
      <c r="L110" s="142">
        <f t="shared" si="5"/>
        <v>20</v>
      </c>
      <c r="M110" s="142">
        <f t="shared" si="5"/>
        <v>21</v>
      </c>
      <c r="N110" s="142">
        <f t="shared" si="5"/>
        <v>17</v>
      </c>
      <c r="O110" s="52">
        <f t="shared" si="5"/>
        <v>22</v>
      </c>
      <c r="P110" s="52">
        <f t="shared" si="5"/>
        <v>20</v>
      </c>
      <c r="Q110" s="52">
        <f t="shared" si="5"/>
        <v>2</v>
      </c>
    </row>
    <row r="111" spans="1:17" ht="13.2">
      <c r="A111" s="50" t="s">
        <v>189</v>
      </c>
      <c r="B111" s="50"/>
      <c r="C111" s="50"/>
      <c r="D111" s="50"/>
      <c r="E111" s="50" t="s">
        <v>174</v>
      </c>
      <c r="F111" s="142">
        <f t="shared" ref="F111:Q120" si="6">ROUND(SUMIF($E$6:$E$53,$E111,F$6:F$53),0)</f>
        <v>3</v>
      </c>
      <c r="G111" s="142">
        <f t="shared" si="6"/>
        <v>3</v>
      </c>
      <c r="H111" s="142">
        <f t="shared" si="6"/>
        <v>3</v>
      </c>
      <c r="I111" s="142">
        <f t="shared" si="6"/>
        <v>3</v>
      </c>
      <c r="J111" s="142">
        <f t="shared" si="6"/>
        <v>3</v>
      </c>
      <c r="K111" s="142">
        <f t="shared" si="6"/>
        <v>3</v>
      </c>
      <c r="L111" s="142">
        <f t="shared" si="6"/>
        <v>3</v>
      </c>
      <c r="M111" s="142">
        <f t="shared" si="6"/>
        <v>3</v>
      </c>
      <c r="N111" s="142">
        <f t="shared" si="6"/>
        <v>3</v>
      </c>
      <c r="O111" s="52">
        <f t="shared" si="6"/>
        <v>3</v>
      </c>
      <c r="P111" s="52">
        <f t="shared" si="6"/>
        <v>3</v>
      </c>
      <c r="Q111" s="52">
        <f t="shared" si="6"/>
        <v>1</v>
      </c>
    </row>
    <row r="112" spans="1:17" ht="13.2">
      <c r="A112" s="50" t="s">
        <v>190</v>
      </c>
      <c r="B112" s="50"/>
      <c r="C112" s="50"/>
      <c r="D112" s="50"/>
      <c r="E112" s="50" t="s">
        <v>175</v>
      </c>
      <c r="F112" s="142">
        <f t="shared" si="6"/>
        <v>23</v>
      </c>
      <c r="G112" s="142">
        <f t="shared" si="6"/>
        <v>23</v>
      </c>
      <c r="H112" s="142">
        <f t="shared" si="6"/>
        <v>23</v>
      </c>
      <c r="I112" s="142">
        <f t="shared" si="6"/>
        <v>23</v>
      </c>
      <c r="J112" s="142">
        <f t="shared" si="6"/>
        <v>23</v>
      </c>
      <c r="K112" s="142">
        <f t="shared" si="6"/>
        <v>23</v>
      </c>
      <c r="L112" s="142">
        <f t="shared" si="6"/>
        <v>23</v>
      </c>
      <c r="M112" s="142">
        <f t="shared" si="6"/>
        <v>24</v>
      </c>
      <c r="N112" s="142">
        <f t="shared" si="6"/>
        <v>20</v>
      </c>
      <c r="O112" s="52">
        <f t="shared" si="6"/>
        <v>25</v>
      </c>
      <c r="P112" s="52">
        <f t="shared" si="6"/>
        <v>23</v>
      </c>
      <c r="Q112" s="52">
        <f t="shared" si="6"/>
        <v>3</v>
      </c>
    </row>
    <row r="113" spans="1:17" ht="13.2">
      <c r="A113" s="50" t="s">
        <v>191</v>
      </c>
      <c r="B113" s="50"/>
      <c r="C113" s="50"/>
      <c r="D113" s="50"/>
      <c r="E113" s="50" t="s">
        <v>176</v>
      </c>
      <c r="F113" s="142">
        <f t="shared" si="6"/>
        <v>2</v>
      </c>
      <c r="G113" s="142">
        <f t="shared" si="6"/>
        <v>2</v>
      </c>
      <c r="H113" s="142">
        <f t="shared" si="6"/>
        <v>2</v>
      </c>
      <c r="I113" s="142">
        <f t="shared" si="6"/>
        <v>2</v>
      </c>
      <c r="J113" s="142">
        <f t="shared" si="6"/>
        <v>2</v>
      </c>
      <c r="K113" s="142">
        <f t="shared" si="6"/>
        <v>2</v>
      </c>
      <c r="L113" s="142">
        <f t="shared" si="6"/>
        <v>2</v>
      </c>
      <c r="M113" s="142">
        <f t="shared" si="6"/>
        <v>2</v>
      </c>
      <c r="N113" s="142">
        <f t="shared" si="6"/>
        <v>2</v>
      </c>
      <c r="O113" s="52">
        <f t="shared" si="6"/>
        <v>2</v>
      </c>
      <c r="P113" s="52">
        <f t="shared" si="6"/>
        <v>2</v>
      </c>
      <c r="Q113" s="52">
        <f t="shared" si="6"/>
        <v>2</v>
      </c>
    </row>
    <row r="114" spans="1:17" ht="13.2">
      <c r="A114" s="50"/>
      <c r="B114" s="50"/>
      <c r="C114" s="50"/>
      <c r="D114" s="50"/>
      <c r="E114" s="50"/>
      <c r="F114" s="142">
        <f t="shared" si="6"/>
        <v>0</v>
      </c>
      <c r="G114" s="142">
        <f t="shared" si="6"/>
        <v>0</v>
      </c>
      <c r="H114" s="142">
        <f t="shared" si="6"/>
        <v>0</v>
      </c>
      <c r="I114" s="142">
        <f t="shared" si="6"/>
        <v>0</v>
      </c>
      <c r="J114" s="142">
        <f t="shared" si="6"/>
        <v>0</v>
      </c>
      <c r="K114" s="142">
        <f t="shared" si="6"/>
        <v>0</v>
      </c>
      <c r="L114" s="142">
        <f t="shared" si="6"/>
        <v>0</v>
      </c>
      <c r="M114" s="142">
        <f t="shared" si="6"/>
        <v>0</v>
      </c>
      <c r="N114" s="142">
        <f t="shared" si="6"/>
        <v>0</v>
      </c>
      <c r="O114" s="52">
        <f t="shared" si="6"/>
        <v>0</v>
      </c>
      <c r="P114" s="52">
        <f t="shared" si="6"/>
        <v>0</v>
      </c>
      <c r="Q114" s="52">
        <f t="shared" si="6"/>
        <v>0</v>
      </c>
    </row>
    <row r="115" spans="1:17" ht="13.2">
      <c r="A115" s="50" t="s">
        <v>192</v>
      </c>
      <c r="B115" s="50"/>
      <c r="C115" s="50"/>
      <c r="D115" s="50"/>
      <c r="E115" s="50" t="s">
        <v>64</v>
      </c>
      <c r="F115" s="142">
        <f t="shared" si="6"/>
        <v>73978</v>
      </c>
      <c r="G115" s="142">
        <f t="shared" si="6"/>
        <v>74058</v>
      </c>
      <c r="H115" s="142">
        <f t="shared" si="6"/>
        <v>74133</v>
      </c>
      <c r="I115" s="142">
        <f t="shared" si="6"/>
        <v>74203</v>
      </c>
      <c r="J115" s="142">
        <f t="shared" si="6"/>
        <v>74237</v>
      </c>
      <c r="K115" s="142">
        <f t="shared" si="6"/>
        <v>74308</v>
      </c>
      <c r="L115" s="142">
        <f t="shared" si="6"/>
        <v>74483</v>
      </c>
      <c r="M115" s="142">
        <f t="shared" si="6"/>
        <v>74741</v>
      </c>
      <c r="N115" s="142">
        <f t="shared" si="6"/>
        <v>74775</v>
      </c>
      <c r="O115" s="52">
        <f t="shared" si="6"/>
        <v>75296</v>
      </c>
      <c r="P115" s="52">
        <f t="shared" si="6"/>
        <v>75505</v>
      </c>
      <c r="Q115" s="52">
        <f t="shared" si="6"/>
        <v>75681</v>
      </c>
    </row>
    <row r="116" spans="1:17" ht="13.2">
      <c r="A116" s="50" t="s">
        <v>193</v>
      </c>
      <c r="B116" s="50"/>
      <c r="C116" s="50"/>
      <c r="D116" s="50"/>
      <c r="E116" s="50" t="s">
        <v>65</v>
      </c>
      <c r="F116" s="142">
        <f t="shared" si="6"/>
        <v>7625</v>
      </c>
      <c r="G116" s="142">
        <f t="shared" si="6"/>
        <v>7628</v>
      </c>
      <c r="H116" s="142">
        <f t="shared" si="6"/>
        <v>7604</v>
      </c>
      <c r="I116" s="142">
        <f t="shared" si="6"/>
        <v>7629</v>
      </c>
      <c r="J116" s="142">
        <f t="shared" si="6"/>
        <v>7611</v>
      </c>
      <c r="K116" s="142">
        <f t="shared" si="6"/>
        <v>7638</v>
      </c>
      <c r="L116" s="142">
        <f t="shared" si="6"/>
        <v>7624</v>
      </c>
      <c r="M116" s="142">
        <f t="shared" si="6"/>
        <v>7606</v>
      </c>
      <c r="N116" s="142">
        <f t="shared" si="6"/>
        <v>7528</v>
      </c>
      <c r="O116" s="52">
        <f t="shared" si="6"/>
        <v>7712</v>
      </c>
      <c r="P116" s="52">
        <f t="shared" si="6"/>
        <v>7663</v>
      </c>
      <c r="Q116" s="52">
        <f t="shared" si="6"/>
        <v>7634</v>
      </c>
    </row>
    <row r="117" spans="1:17" ht="13.2">
      <c r="A117" s="50" t="s">
        <v>194</v>
      </c>
      <c r="B117" s="50"/>
      <c r="C117" s="50"/>
      <c r="D117" s="50"/>
      <c r="E117" s="50" t="s">
        <v>66</v>
      </c>
      <c r="F117" s="142">
        <f t="shared" si="6"/>
        <v>55</v>
      </c>
      <c r="G117" s="142">
        <f t="shared" si="6"/>
        <v>55</v>
      </c>
      <c r="H117" s="142">
        <f t="shared" si="6"/>
        <v>53</v>
      </c>
      <c r="I117" s="142">
        <f t="shared" si="6"/>
        <v>54</v>
      </c>
      <c r="J117" s="142">
        <f t="shared" si="6"/>
        <v>54</v>
      </c>
      <c r="K117" s="142">
        <f t="shared" si="6"/>
        <v>54</v>
      </c>
      <c r="L117" s="142">
        <f t="shared" si="6"/>
        <v>52</v>
      </c>
      <c r="M117" s="142">
        <f t="shared" si="6"/>
        <v>56</v>
      </c>
      <c r="N117" s="142">
        <f t="shared" si="6"/>
        <v>53</v>
      </c>
      <c r="O117" s="52">
        <f t="shared" si="6"/>
        <v>55</v>
      </c>
      <c r="P117" s="52">
        <f t="shared" si="6"/>
        <v>54</v>
      </c>
      <c r="Q117" s="52">
        <f t="shared" si="6"/>
        <v>54</v>
      </c>
    </row>
    <row r="118" spans="1:17" ht="13.2">
      <c r="A118" s="50" t="s">
        <v>195</v>
      </c>
      <c r="B118" s="50"/>
      <c r="C118" s="50"/>
      <c r="D118" s="50"/>
      <c r="E118" s="50" t="s">
        <v>67</v>
      </c>
      <c r="F118" s="142">
        <f t="shared" si="6"/>
        <v>81663</v>
      </c>
      <c r="G118" s="142">
        <f t="shared" si="6"/>
        <v>81746</v>
      </c>
      <c r="H118" s="142">
        <f t="shared" si="6"/>
        <v>81795</v>
      </c>
      <c r="I118" s="142">
        <f t="shared" si="6"/>
        <v>81891</v>
      </c>
      <c r="J118" s="142">
        <f t="shared" si="6"/>
        <v>81907</v>
      </c>
      <c r="K118" s="142">
        <f t="shared" si="6"/>
        <v>82005</v>
      </c>
      <c r="L118" s="142">
        <f t="shared" si="6"/>
        <v>82164</v>
      </c>
      <c r="M118" s="142">
        <f t="shared" si="6"/>
        <v>82408</v>
      </c>
      <c r="N118" s="142">
        <f t="shared" si="6"/>
        <v>82361</v>
      </c>
      <c r="O118" s="52">
        <f t="shared" si="6"/>
        <v>83068</v>
      </c>
      <c r="P118" s="52">
        <f t="shared" si="6"/>
        <v>83227</v>
      </c>
      <c r="Q118" s="52">
        <f t="shared" si="6"/>
        <v>83374</v>
      </c>
    </row>
    <row r="119" spans="1:17" ht="13.2">
      <c r="A119" s="50" t="s">
        <v>196</v>
      </c>
      <c r="B119" s="50"/>
      <c r="C119" s="50"/>
      <c r="D119" s="50"/>
      <c r="E119" s="50" t="s">
        <v>68</v>
      </c>
      <c r="F119" s="142">
        <f t="shared" si="6"/>
        <v>106</v>
      </c>
      <c r="G119" s="142">
        <f t="shared" si="6"/>
        <v>108</v>
      </c>
      <c r="H119" s="142">
        <f t="shared" si="6"/>
        <v>108</v>
      </c>
      <c r="I119" s="142">
        <f t="shared" si="6"/>
        <v>107</v>
      </c>
      <c r="J119" s="142">
        <f t="shared" si="6"/>
        <v>109</v>
      </c>
      <c r="K119" s="142">
        <f t="shared" si="6"/>
        <v>109</v>
      </c>
      <c r="L119" s="142">
        <f t="shared" si="6"/>
        <v>110</v>
      </c>
      <c r="M119" s="142">
        <f t="shared" si="6"/>
        <v>109</v>
      </c>
      <c r="N119" s="142">
        <f t="shared" si="6"/>
        <v>108</v>
      </c>
      <c r="O119" s="52">
        <f t="shared" si="6"/>
        <v>110</v>
      </c>
      <c r="P119" s="52">
        <f t="shared" si="6"/>
        <v>111</v>
      </c>
      <c r="Q119" s="52">
        <f t="shared" si="6"/>
        <v>111</v>
      </c>
    </row>
    <row r="120" spans="1:17" ht="13.2">
      <c r="A120" s="50" t="s">
        <v>197</v>
      </c>
      <c r="B120" s="50"/>
      <c r="C120" s="50"/>
      <c r="D120" s="50"/>
      <c r="E120" s="50" t="s">
        <v>69</v>
      </c>
      <c r="F120" s="142">
        <f t="shared" si="6"/>
        <v>1306</v>
      </c>
      <c r="G120" s="142">
        <f t="shared" si="6"/>
        <v>1325</v>
      </c>
      <c r="H120" s="142">
        <f t="shared" si="6"/>
        <v>1332</v>
      </c>
      <c r="I120" s="142">
        <f t="shared" si="6"/>
        <v>1342</v>
      </c>
      <c r="J120" s="142">
        <f t="shared" si="6"/>
        <v>1351</v>
      </c>
      <c r="K120" s="142">
        <f t="shared" si="6"/>
        <v>1352</v>
      </c>
      <c r="L120" s="142">
        <f t="shared" si="6"/>
        <v>1348</v>
      </c>
      <c r="M120" s="142">
        <f t="shared" si="6"/>
        <v>1338</v>
      </c>
      <c r="N120" s="142">
        <f t="shared" si="6"/>
        <v>1347</v>
      </c>
      <c r="O120" s="52">
        <f t="shared" si="6"/>
        <v>1360</v>
      </c>
      <c r="P120" s="52">
        <f t="shared" si="6"/>
        <v>1346</v>
      </c>
      <c r="Q120" s="52">
        <f t="shared" si="6"/>
        <v>1350</v>
      </c>
    </row>
    <row r="121" spans="1:17" ht="13.2">
      <c r="A121" s="50" t="s">
        <v>198</v>
      </c>
      <c r="B121" s="50"/>
      <c r="C121" s="50"/>
      <c r="D121" s="50"/>
      <c r="E121" s="50" t="s">
        <v>70</v>
      </c>
      <c r="F121" s="142">
        <f t="shared" ref="F121:Q126" si="7">ROUND(SUMIF($E$6:$E$53,$E121,F$6:F$53),0)</f>
        <v>38</v>
      </c>
      <c r="G121" s="142">
        <f t="shared" si="7"/>
        <v>38</v>
      </c>
      <c r="H121" s="142">
        <f t="shared" si="7"/>
        <v>38</v>
      </c>
      <c r="I121" s="142">
        <f t="shared" si="7"/>
        <v>38</v>
      </c>
      <c r="J121" s="142">
        <f t="shared" si="7"/>
        <v>39</v>
      </c>
      <c r="K121" s="142">
        <f t="shared" si="7"/>
        <v>38</v>
      </c>
      <c r="L121" s="142">
        <f t="shared" si="7"/>
        <v>38</v>
      </c>
      <c r="M121" s="142">
        <f t="shared" si="7"/>
        <v>38</v>
      </c>
      <c r="N121" s="142">
        <f t="shared" si="7"/>
        <v>37</v>
      </c>
      <c r="O121" s="52">
        <f t="shared" si="7"/>
        <v>39</v>
      </c>
      <c r="P121" s="52">
        <f t="shared" si="7"/>
        <v>38</v>
      </c>
      <c r="Q121" s="52">
        <f t="shared" si="7"/>
        <v>38</v>
      </c>
    </row>
    <row r="122" spans="1:17" ht="13.2">
      <c r="A122" s="50" t="s">
        <v>199</v>
      </c>
      <c r="B122" s="50"/>
      <c r="C122" s="50"/>
      <c r="D122" s="50"/>
      <c r="E122" s="50" t="s">
        <v>165</v>
      </c>
      <c r="F122" s="142">
        <f t="shared" si="7"/>
        <v>1454</v>
      </c>
      <c r="G122" s="142">
        <f t="shared" si="7"/>
        <v>1475</v>
      </c>
      <c r="H122" s="142">
        <f t="shared" si="7"/>
        <v>1482</v>
      </c>
      <c r="I122" s="142">
        <f t="shared" si="7"/>
        <v>1491</v>
      </c>
      <c r="J122" s="142">
        <f t="shared" si="7"/>
        <v>1503</v>
      </c>
      <c r="K122" s="142">
        <f t="shared" si="7"/>
        <v>1503</v>
      </c>
      <c r="L122" s="142">
        <f t="shared" si="7"/>
        <v>1500</v>
      </c>
      <c r="M122" s="142">
        <f t="shared" si="7"/>
        <v>1489</v>
      </c>
      <c r="N122" s="142">
        <f t="shared" si="7"/>
        <v>1496</v>
      </c>
      <c r="O122" s="52">
        <f t="shared" si="7"/>
        <v>1513</v>
      </c>
      <c r="P122" s="52">
        <f t="shared" si="7"/>
        <v>1499</v>
      </c>
      <c r="Q122" s="52">
        <f t="shared" si="7"/>
        <v>1503</v>
      </c>
    </row>
    <row r="123" spans="1:17" ht="13.2">
      <c r="A123" s="50" t="s">
        <v>200</v>
      </c>
      <c r="B123" s="50"/>
      <c r="C123" s="50"/>
      <c r="D123" s="50"/>
      <c r="E123" s="50" t="s">
        <v>166</v>
      </c>
      <c r="F123" s="142">
        <f t="shared" si="7"/>
        <v>0</v>
      </c>
      <c r="G123" s="142">
        <f t="shared" si="7"/>
        <v>0</v>
      </c>
      <c r="H123" s="142">
        <f t="shared" si="7"/>
        <v>0</v>
      </c>
      <c r="I123" s="142">
        <f t="shared" si="7"/>
        <v>0</v>
      </c>
      <c r="J123" s="142">
        <f t="shared" si="7"/>
        <v>0</v>
      </c>
      <c r="K123" s="142">
        <f t="shared" si="7"/>
        <v>0</v>
      </c>
      <c r="L123" s="142">
        <f t="shared" si="7"/>
        <v>0</v>
      </c>
      <c r="M123" s="142">
        <f t="shared" si="7"/>
        <v>0</v>
      </c>
      <c r="N123" s="142">
        <f t="shared" si="7"/>
        <v>0</v>
      </c>
      <c r="O123" s="52">
        <f t="shared" si="7"/>
        <v>0</v>
      </c>
      <c r="P123" s="52">
        <f t="shared" si="7"/>
        <v>0</v>
      </c>
      <c r="Q123" s="52">
        <f t="shared" si="7"/>
        <v>0</v>
      </c>
    </row>
    <row r="124" spans="1:17" ht="13.2">
      <c r="A124" s="50" t="s">
        <v>201</v>
      </c>
      <c r="B124" s="50"/>
      <c r="C124" s="50"/>
      <c r="D124" s="50"/>
      <c r="E124" s="50" t="s">
        <v>167</v>
      </c>
      <c r="F124" s="142">
        <f t="shared" si="7"/>
        <v>0</v>
      </c>
      <c r="G124" s="142">
        <f t="shared" si="7"/>
        <v>0</v>
      </c>
      <c r="H124" s="142">
        <f t="shared" si="7"/>
        <v>0</v>
      </c>
      <c r="I124" s="142">
        <f t="shared" si="7"/>
        <v>0</v>
      </c>
      <c r="J124" s="142">
        <f t="shared" si="7"/>
        <v>0</v>
      </c>
      <c r="K124" s="142">
        <f t="shared" si="7"/>
        <v>0</v>
      </c>
      <c r="L124" s="142">
        <f t="shared" si="7"/>
        <v>0</v>
      </c>
      <c r="M124" s="142">
        <f t="shared" si="7"/>
        <v>0</v>
      </c>
      <c r="N124" s="142">
        <f t="shared" si="7"/>
        <v>0</v>
      </c>
      <c r="O124" s="52">
        <f t="shared" si="7"/>
        <v>0</v>
      </c>
      <c r="P124" s="52">
        <f t="shared" si="7"/>
        <v>0</v>
      </c>
      <c r="Q124" s="52">
        <f t="shared" si="7"/>
        <v>0</v>
      </c>
    </row>
    <row r="125" spans="1:17" ht="13.2">
      <c r="A125" s="50" t="s">
        <v>202</v>
      </c>
      <c r="B125" s="50"/>
      <c r="C125" s="50"/>
      <c r="D125" s="50"/>
      <c r="E125" s="50" t="s">
        <v>169</v>
      </c>
      <c r="F125" s="142">
        <f t="shared" si="7"/>
        <v>0</v>
      </c>
      <c r="G125" s="142">
        <f t="shared" si="7"/>
        <v>0</v>
      </c>
      <c r="H125" s="142">
        <f t="shared" si="7"/>
        <v>0</v>
      </c>
      <c r="I125" s="142">
        <f t="shared" si="7"/>
        <v>0</v>
      </c>
      <c r="J125" s="142">
        <f t="shared" si="7"/>
        <v>0</v>
      </c>
      <c r="K125" s="142">
        <f t="shared" si="7"/>
        <v>0</v>
      </c>
      <c r="L125" s="142">
        <f t="shared" si="7"/>
        <v>0</v>
      </c>
      <c r="M125" s="142">
        <f t="shared" si="7"/>
        <v>0</v>
      </c>
      <c r="N125" s="142">
        <f t="shared" si="7"/>
        <v>0</v>
      </c>
      <c r="O125" s="52">
        <f t="shared" si="7"/>
        <v>0</v>
      </c>
      <c r="P125" s="52">
        <f t="shared" si="7"/>
        <v>0</v>
      </c>
      <c r="Q125" s="52">
        <f t="shared" si="7"/>
        <v>0</v>
      </c>
    </row>
    <row r="126" spans="1:17" ht="13.2">
      <c r="A126" s="50" t="s">
        <v>203</v>
      </c>
      <c r="B126" s="50"/>
      <c r="C126" s="50"/>
      <c r="D126" s="50"/>
      <c r="E126" s="50" t="s">
        <v>170</v>
      </c>
      <c r="F126" s="142">
        <f t="shared" si="7"/>
        <v>0</v>
      </c>
      <c r="G126" s="142">
        <f t="shared" si="7"/>
        <v>0</v>
      </c>
      <c r="H126" s="142">
        <f t="shared" si="7"/>
        <v>0</v>
      </c>
      <c r="I126" s="142">
        <f t="shared" si="7"/>
        <v>0</v>
      </c>
      <c r="J126" s="142">
        <f t="shared" si="7"/>
        <v>0</v>
      </c>
      <c r="K126" s="142">
        <f t="shared" si="7"/>
        <v>0</v>
      </c>
      <c r="L126" s="142">
        <f t="shared" si="7"/>
        <v>0</v>
      </c>
      <c r="M126" s="142">
        <f t="shared" si="7"/>
        <v>0</v>
      </c>
      <c r="N126" s="142">
        <f t="shared" si="7"/>
        <v>0</v>
      </c>
      <c r="O126" s="52">
        <f t="shared" si="7"/>
        <v>0</v>
      </c>
      <c r="P126" s="52">
        <f t="shared" si="7"/>
        <v>0</v>
      </c>
      <c r="Q126" s="52">
        <f t="shared" si="7"/>
        <v>0</v>
      </c>
    </row>
  </sheetData>
  <phoneticPr fontId="9" type="noConversion"/>
  <printOptions horizontalCentered="1" verticalCentered="1"/>
  <pageMargins left="0.5" right="0.5" top="0.5" bottom="0.5" header="0.5" footer="0.3"/>
  <pageSetup scale="86" orientation="landscape" r:id="rId1"/>
  <headerFooter alignWithMargins="0">
    <oddFooter>&amp;L&amp;"Times New Roman,Regular"file: &amp;F&amp;C&amp;A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58"/>
  <sheetViews>
    <sheetView topLeftCell="A5" workbookViewId="0">
      <selection activeCell="K8" sqref="K8"/>
    </sheetView>
  </sheetViews>
  <sheetFormatPr defaultColWidth="11" defaultRowHeight="13.2"/>
  <cols>
    <col min="1" max="1" width="22.625" style="1" customWidth="1"/>
    <col min="2" max="2" width="15" style="1" customWidth="1"/>
    <col min="3" max="3" width="14.25" style="1" customWidth="1"/>
    <col min="4" max="4" width="14.625" style="1" customWidth="1"/>
    <col min="5" max="5" width="13.5" style="2" customWidth="1"/>
    <col min="6" max="8" width="10" style="2" customWidth="1"/>
    <col min="9" max="9" width="10.25" style="2" customWidth="1"/>
    <col min="10" max="10" width="10.625" style="2" customWidth="1"/>
    <col min="11" max="242" width="10" style="2" customWidth="1"/>
    <col min="243" max="16384" width="11" style="2"/>
  </cols>
  <sheetData>
    <row r="1" spans="1:12">
      <c r="A1" s="227" t="s">
        <v>5</v>
      </c>
      <c r="B1" s="227"/>
      <c r="C1" s="227"/>
      <c r="D1" s="227"/>
      <c r="E1" s="1"/>
    </row>
    <row r="2" spans="1:12">
      <c r="A2" s="227" t="s">
        <v>206</v>
      </c>
      <c r="B2" s="227"/>
      <c r="C2" s="227"/>
      <c r="D2" s="227"/>
      <c r="E2" s="1"/>
    </row>
    <row r="3" spans="1:12">
      <c r="A3" s="227" t="s">
        <v>207</v>
      </c>
      <c r="B3" s="227"/>
      <c r="C3" s="227"/>
      <c r="D3" s="227"/>
      <c r="E3" s="1"/>
    </row>
    <row r="4" spans="1:12">
      <c r="A4" s="227" t="s">
        <v>362</v>
      </c>
      <c r="B4" s="227"/>
      <c r="C4" s="227"/>
      <c r="D4" s="227"/>
      <c r="E4" s="1"/>
    </row>
    <row r="5" spans="1:12">
      <c r="A5" s="100"/>
      <c r="B5" s="100"/>
      <c r="C5" s="101" t="s">
        <v>365</v>
      </c>
      <c r="D5" s="102" t="s">
        <v>8</v>
      </c>
      <c r="E5" s="3"/>
      <c r="G5" s="11" t="s">
        <v>0</v>
      </c>
      <c r="H5" s="11" t="s">
        <v>0</v>
      </c>
      <c r="I5" s="8" t="s">
        <v>208</v>
      </c>
      <c r="J5" s="8" t="s">
        <v>208</v>
      </c>
      <c r="K5" s="4" t="s">
        <v>261</v>
      </c>
      <c r="L5" s="4" t="s">
        <v>261</v>
      </c>
    </row>
    <row r="6" spans="1:12">
      <c r="A6" s="102" t="s">
        <v>4</v>
      </c>
      <c r="B6" s="102" t="s">
        <v>2</v>
      </c>
      <c r="C6" s="102" t="s">
        <v>236</v>
      </c>
      <c r="D6" s="102" t="s">
        <v>25</v>
      </c>
      <c r="E6" s="3"/>
      <c r="G6" s="3" t="s">
        <v>1</v>
      </c>
      <c r="H6" s="3" t="s">
        <v>1</v>
      </c>
      <c r="I6" s="3" t="s">
        <v>1</v>
      </c>
      <c r="J6" s="3" t="s">
        <v>1</v>
      </c>
      <c r="K6" s="108" t="s">
        <v>1</v>
      </c>
      <c r="L6" s="108" t="s">
        <v>1</v>
      </c>
    </row>
    <row r="7" spans="1:12">
      <c r="A7" s="102" t="s">
        <v>6</v>
      </c>
      <c r="B7" s="102" t="s">
        <v>3</v>
      </c>
      <c r="C7" s="102" t="s">
        <v>3</v>
      </c>
      <c r="D7" s="102" t="s">
        <v>3</v>
      </c>
      <c r="E7" s="4"/>
      <c r="G7" s="3" t="s">
        <v>3</v>
      </c>
      <c r="H7" s="12" t="s">
        <v>7</v>
      </c>
      <c r="I7" s="3" t="s">
        <v>3</v>
      </c>
      <c r="J7" s="3" t="s">
        <v>7</v>
      </c>
      <c r="K7" s="108" t="s">
        <v>3</v>
      </c>
      <c r="L7" s="108" t="s">
        <v>7</v>
      </c>
    </row>
    <row r="8" spans="1:12">
      <c r="A8" s="103">
        <v>41639</v>
      </c>
      <c r="B8" s="174">
        <v>960</v>
      </c>
      <c r="C8" s="104">
        <v>1105</v>
      </c>
      <c r="D8" s="105">
        <f t="shared" ref="D8:D19" si="0">C8-B8</f>
        <v>145</v>
      </c>
      <c r="E8" s="5"/>
      <c r="G8" s="5">
        <v>1175</v>
      </c>
      <c r="H8" s="10">
        <v>0</v>
      </c>
      <c r="I8" s="5">
        <v>1169</v>
      </c>
      <c r="J8" s="10">
        <v>0</v>
      </c>
      <c r="K8" s="5">
        <v>1099</v>
      </c>
      <c r="L8" s="10">
        <v>0</v>
      </c>
    </row>
    <row r="9" spans="1:12">
      <c r="A9" s="103">
        <f t="shared" ref="A9:A19" si="1">A8+31</f>
        <v>41670</v>
      </c>
      <c r="B9" s="174">
        <v>968</v>
      </c>
      <c r="C9" s="125">
        <v>914</v>
      </c>
      <c r="D9" s="105">
        <f t="shared" si="0"/>
        <v>-54</v>
      </c>
      <c r="E9" s="5"/>
      <c r="G9" s="5">
        <f>888</f>
        <v>888</v>
      </c>
      <c r="H9" s="10">
        <v>0</v>
      </c>
      <c r="I9" s="5">
        <v>916</v>
      </c>
      <c r="J9" s="10">
        <v>0</v>
      </c>
      <c r="K9" s="5">
        <v>896</v>
      </c>
      <c r="L9" s="10">
        <v>0</v>
      </c>
    </row>
    <row r="10" spans="1:12">
      <c r="A10" s="103">
        <f t="shared" si="1"/>
        <v>41701</v>
      </c>
      <c r="B10" s="174">
        <v>783</v>
      </c>
      <c r="C10" s="104">
        <v>772</v>
      </c>
      <c r="D10" s="105">
        <f t="shared" si="0"/>
        <v>-11</v>
      </c>
      <c r="E10" s="5"/>
      <c r="G10" s="5">
        <v>815</v>
      </c>
      <c r="H10" s="10">
        <v>0</v>
      </c>
      <c r="I10" s="5">
        <v>790</v>
      </c>
      <c r="J10" s="10">
        <v>0</v>
      </c>
      <c r="K10" s="5">
        <v>767</v>
      </c>
      <c r="L10" s="10">
        <v>0</v>
      </c>
    </row>
    <row r="11" spans="1:12">
      <c r="A11" s="103">
        <f t="shared" si="1"/>
        <v>41732</v>
      </c>
      <c r="B11" s="174">
        <v>543</v>
      </c>
      <c r="C11" s="104">
        <v>542</v>
      </c>
      <c r="D11" s="105">
        <f t="shared" si="0"/>
        <v>-1</v>
      </c>
      <c r="E11" s="5"/>
      <c r="G11" s="5">
        <v>573</v>
      </c>
      <c r="H11" s="10">
        <v>0</v>
      </c>
      <c r="I11" s="5">
        <v>557</v>
      </c>
      <c r="J11" s="10">
        <v>1</v>
      </c>
      <c r="K11" s="5">
        <v>540</v>
      </c>
      <c r="L11" s="10">
        <v>0</v>
      </c>
    </row>
    <row r="12" spans="1:12">
      <c r="A12" s="103">
        <f t="shared" si="1"/>
        <v>41763</v>
      </c>
      <c r="B12" s="174">
        <v>125</v>
      </c>
      <c r="C12" s="104">
        <v>304</v>
      </c>
      <c r="D12" s="105">
        <f t="shared" si="0"/>
        <v>179</v>
      </c>
      <c r="E12" s="5"/>
      <c r="G12" s="5">
        <v>344</v>
      </c>
      <c r="H12" s="10">
        <v>0</v>
      </c>
      <c r="I12" s="5">
        <v>338</v>
      </c>
      <c r="J12" s="10">
        <v>11</v>
      </c>
      <c r="K12" s="5">
        <v>321</v>
      </c>
      <c r="L12" s="10">
        <v>14</v>
      </c>
    </row>
    <row r="13" spans="1:12">
      <c r="A13" s="103">
        <f t="shared" si="1"/>
        <v>41794</v>
      </c>
      <c r="B13" s="174">
        <v>103</v>
      </c>
      <c r="C13" s="104">
        <v>136</v>
      </c>
      <c r="D13" s="105">
        <f t="shared" si="0"/>
        <v>33</v>
      </c>
      <c r="E13" s="5"/>
      <c r="G13" s="5">
        <v>139</v>
      </c>
      <c r="H13" s="10">
        <v>49</v>
      </c>
      <c r="I13" s="5">
        <v>149</v>
      </c>
      <c r="J13" s="10">
        <v>46</v>
      </c>
      <c r="K13" s="5">
        <v>136</v>
      </c>
      <c r="L13" s="10">
        <v>49</v>
      </c>
    </row>
    <row r="14" spans="1:12">
      <c r="A14" s="103">
        <f t="shared" si="1"/>
        <v>41825</v>
      </c>
      <c r="B14" s="174">
        <v>15</v>
      </c>
      <c r="C14" s="104">
        <v>27</v>
      </c>
      <c r="D14" s="105">
        <f t="shared" si="0"/>
        <v>12</v>
      </c>
      <c r="E14" s="5"/>
      <c r="G14" s="5">
        <v>30</v>
      </c>
      <c r="H14" s="10">
        <v>148</v>
      </c>
      <c r="I14" s="5">
        <v>44</v>
      </c>
      <c r="J14" s="10">
        <v>155</v>
      </c>
      <c r="K14" s="5">
        <v>32</v>
      </c>
      <c r="L14" s="10">
        <v>180</v>
      </c>
    </row>
    <row r="15" spans="1:12">
      <c r="A15" s="103">
        <f t="shared" si="1"/>
        <v>41856</v>
      </c>
      <c r="B15" s="174">
        <v>24</v>
      </c>
      <c r="C15" s="104">
        <v>30</v>
      </c>
      <c r="D15" s="105">
        <f t="shared" si="0"/>
        <v>6</v>
      </c>
      <c r="E15" s="5"/>
      <c r="G15" s="5">
        <v>56</v>
      </c>
      <c r="H15" s="10">
        <v>161</v>
      </c>
      <c r="I15" s="5">
        <v>42</v>
      </c>
      <c r="J15" s="10">
        <v>154</v>
      </c>
      <c r="K15" s="5">
        <v>33</v>
      </c>
      <c r="L15" s="10">
        <v>168</v>
      </c>
    </row>
    <row r="16" spans="1:12">
      <c r="A16" s="103">
        <f t="shared" si="1"/>
        <v>41887</v>
      </c>
      <c r="B16" s="174">
        <v>169</v>
      </c>
      <c r="C16" s="104">
        <v>160</v>
      </c>
      <c r="D16" s="105">
        <f t="shared" si="0"/>
        <v>-9</v>
      </c>
      <c r="E16" s="5"/>
      <c r="G16" s="5">
        <v>223</v>
      </c>
      <c r="H16" s="10">
        <v>40</v>
      </c>
      <c r="I16" s="5">
        <v>196</v>
      </c>
      <c r="J16" s="10">
        <v>26</v>
      </c>
      <c r="K16" s="5">
        <v>183</v>
      </c>
      <c r="L16" s="10">
        <v>38</v>
      </c>
    </row>
    <row r="17" spans="1:12">
      <c r="A17" s="103">
        <f t="shared" si="1"/>
        <v>41918</v>
      </c>
      <c r="B17" s="174">
        <v>517</v>
      </c>
      <c r="C17" s="104">
        <v>529</v>
      </c>
      <c r="D17" s="105">
        <f t="shared" si="0"/>
        <v>12</v>
      </c>
      <c r="E17" s="5"/>
      <c r="G17" s="5">
        <v>549</v>
      </c>
      <c r="H17" s="10">
        <v>0</v>
      </c>
      <c r="I17" s="5">
        <v>554</v>
      </c>
      <c r="J17" s="10">
        <v>1</v>
      </c>
      <c r="K17" s="5">
        <v>540</v>
      </c>
      <c r="L17" s="10">
        <v>1</v>
      </c>
    </row>
    <row r="18" spans="1:12">
      <c r="A18" s="103">
        <f t="shared" si="1"/>
        <v>41949</v>
      </c>
      <c r="B18" s="174">
        <v>836</v>
      </c>
      <c r="C18" s="104">
        <v>864</v>
      </c>
      <c r="D18" s="105">
        <f t="shared" si="0"/>
        <v>28</v>
      </c>
      <c r="E18" s="5"/>
      <c r="G18" s="5">
        <v>897</v>
      </c>
      <c r="H18" s="10">
        <v>0</v>
      </c>
      <c r="I18" s="5">
        <v>897</v>
      </c>
      <c r="J18" s="10">
        <v>0</v>
      </c>
      <c r="K18" s="5">
        <v>879</v>
      </c>
      <c r="L18" s="10">
        <v>0</v>
      </c>
    </row>
    <row r="19" spans="1:12">
      <c r="A19" s="103">
        <f t="shared" si="1"/>
        <v>41980</v>
      </c>
      <c r="B19" s="174">
        <v>1021</v>
      </c>
      <c r="C19" s="104">
        <v>1137</v>
      </c>
      <c r="D19" s="105">
        <f t="shared" si="0"/>
        <v>116</v>
      </c>
      <c r="E19" s="5"/>
      <c r="G19" s="5">
        <v>1153</v>
      </c>
      <c r="H19" s="10">
        <v>0</v>
      </c>
      <c r="I19" s="5">
        <v>1168</v>
      </c>
      <c r="J19" s="10">
        <v>0</v>
      </c>
      <c r="K19" s="5">
        <v>1167</v>
      </c>
      <c r="L19" s="10">
        <v>0</v>
      </c>
    </row>
    <row r="20" spans="1:12">
      <c r="A20" s="106"/>
      <c r="B20" s="107">
        <f t="shared" ref="B20:D20" si="2">SUM(B7:B19)</f>
        <v>6064</v>
      </c>
      <c r="C20" s="107">
        <f t="shared" si="2"/>
        <v>6520</v>
      </c>
      <c r="D20" s="107">
        <f t="shared" si="2"/>
        <v>456</v>
      </c>
      <c r="E20" s="7"/>
      <c r="G20" s="13">
        <f>SUM(G8:G19)</f>
        <v>6842</v>
      </c>
      <c r="H20" s="13">
        <f>SUM(H8:H19)</f>
        <v>398</v>
      </c>
      <c r="I20" s="6">
        <f>SUM(I7:I19)</f>
        <v>6820</v>
      </c>
      <c r="J20" s="6">
        <f>SUM(J7:J19)</f>
        <v>394</v>
      </c>
      <c r="K20" s="6">
        <f>SUM(K7:K19)</f>
        <v>6593</v>
      </c>
      <c r="L20" s="6">
        <f>SUM(L7:L19)</f>
        <v>450</v>
      </c>
    </row>
    <row r="21" spans="1:12" ht="12" customHeight="1"/>
    <row r="22" spans="1:12" ht="12" customHeight="1">
      <c r="A22" s="1" t="s">
        <v>262</v>
      </c>
      <c r="B22" s="110">
        <f>SUM(B17:B19,B8:B13)</f>
        <v>5856</v>
      </c>
      <c r="C22" s="110">
        <f>SUM(C17:C19,C8:C13)</f>
        <v>6303</v>
      </c>
      <c r="D22" s="110">
        <f>SUM(D17:D19,D8:D13)</f>
        <v>447</v>
      </c>
      <c r="G22" s="110">
        <f>SUM(G17:G19,G8:G13)</f>
        <v>6533</v>
      </c>
      <c r="I22" s="110">
        <f>SUM(I17:I19,I8:I13)</f>
        <v>6538</v>
      </c>
      <c r="K22" s="110">
        <f>SUM(K17:K19,K8:K13)</f>
        <v>6345</v>
      </c>
    </row>
    <row r="24" spans="1:12">
      <c r="E24" s="9"/>
      <c r="G24"/>
    </row>
    <row r="25" spans="1:12">
      <c r="E25" s="9"/>
      <c r="G25"/>
    </row>
    <row r="26" spans="1:12">
      <c r="C26"/>
      <c r="E26" s="5"/>
      <c r="G26"/>
    </row>
    <row r="27" spans="1:12">
      <c r="C27"/>
      <c r="E27" s="5"/>
      <c r="G27"/>
    </row>
    <row r="28" spans="1:12">
      <c r="C28"/>
      <c r="E28" s="5"/>
      <c r="G28"/>
    </row>
    <row r="29" spans="1:12">
      <c r="C29"/>
      <c r="E29" s="5"/>
      <c r="G29"/>
    </row>
    <row r="30" spans="1:12">
      <c r="C30"/>
      <c r="E30" s="5"/>
      <c r="G30"/>
    </row>
    <row r="31" spans="1:12">
      <c r="C31"/>
      <c r="E31" s="5"/>
      <c r="G31"/>
    </row>
    <row r="32" spans="1:12">
      <c r="C32"/>
      <c r="E32" s="5"/>
      <c r="G32"/>
    </row>
    <row r="33" spans="3:16">
      <c r="C33"/>
      <c r="E33" s="5"/>
      <c r="G33"/>
    </row>
    <row r="34" spans="3:16">
      <c r="C34"/>
      <c r="E34" s="5"/>
      <c r="G34"/>
    </row>
    <row r="35" spans="3:16">
      <c r="C35"/>
      <c r="E35" s="5"/>
      <c r="G35"/>
    </row>
    <row r="36" spans="3:16">
      <c r="C36"/>
      <c r="E36" s="5"/>
      <c r="G36"/>
    </row>
    <row r="37" spans="3:16">
      <c r="C37"/>
      <c r="E37" s="5"/>
      <c r="G37"/>
    </row>
    <row r="38" spans="3:16">
      <c r="C38"/>
      <c r="E38" s="7"/>
      <c r="G38"/>
    </row>
    <row r="39" spans="3:16">
      <c r="G39"/>
    </row>
    <row r="40" spans="3:16">
      <c r="G40"/>
    </row>
    <row r="45" spans="3:16">
      <c r="O45" s="5"/>
      <c r="P45" s="5"/>
    </row>
    <row r="49" spans="6:10">
      <c r="H49" s="5"/>
      <c r="I49" s="5"/>
      <c r="J49" s="5"/>
    </row>
    <row r="57" spans="6:10">
      <c r="F57" s="14"/>
    </row>
    <row r="58" spans="6:10">
      <c r="F58" s="14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2" right="0.2" top="0.86" bottom="1" header="0.5" footer="0.5"/>
  <pageSetup scale="90" orientation="landscape" horizontalDpi="300" verticalDpi="300" r:id="rId1"/>
  <headerFooter alignWithMargins="0">
    <oddHeader>&amp;R&amp;"Times New Roman,Regular"&amp;10Adjustment No. __&amp;U2.10&amp;U__
Workpaper Ref. C-WN-__</oddHeader>
    <oddFooter>&amp;L&amp;"Times,Regular"&amp;10FILE:  &amp;F &amp;A&amp;C&amp;"Times New Roman,Regular"&amp;10Page &amp;P of &amp;N&amp;R&amp;"Times New Roman,Regular"&amp;10Prep by:________  1st Review:________
Date: &amp;D     Mgr. Review:________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6"/>
  <sheetViews>
    <sheetView topLeftCell="A8" workbookViewId="0">
      <selection activeCell="D49" sqref="D49"/>
    </sheetView>
  </sheetViews>
  <sheetFormatPr defaultRowHeight="9.6"/>
  <cols>
    <col min="1" max="1" width="6.25" customWidth="1"/>
    <col min="2" max="2" width="3.375" customWidth="1"/>
    <col min="3" max="3" width="21.875" customWidth="1"/>
    <col min="4" max="4" width="12.625" customWidth="1"/>
    <col min="5" max="5" width="15.125" customWidth="1"/>
  </cols>
  <sheetData>
    <row r="1" spans="1:5" ht="13.8">
      <c r="A1" s="147" t="s">
        <v>273</v>
      </c>
      <c r="B1" s="147"/>
      <c r="C1" s="147"/>
      <c r="D1" s="147"/>
    </row>
    <row r="2" spans="1:5" ht="13.8">
      <c r="A2" s="147" t="s">
        <v>278</v>
      </c>
      <c r="B2" s="147"/>
      <c r="C2" s="147"/>
      <c r="D2" s="147"/>
      <c r="E2" s="147" t="s">
        <v>316</v>
      </c>
    </row>
    <row r="3" spans="1:5" ht="13.8">
      <c r="A3" s="147" t="s">
        <v>362</v>
      </c>
      <c r="B3" s="147"/>
      <c r="C3" s="147"/>
      <c r="D3" s="147"/>
    </row>
    <row r="4" spans="1:5" ht="13.8">
      <c r="A4" s="147"/>
      <c r="B4" s="147"/>
      <c r="C4" s="147"/>
      <c r="D4" s="147"/>
    </row>
    <row r="5" spans="1:5" ht="13.8">
      <c r="A5" s="147"/>
      <c r="B5" s="147"/>
      <c r="C5" s="147"/>
      <c r="D5" s="147"/>
    </row>
    <row r="6" spans="1:5" ht="13.2">
      <c r="A6" s="149" t="s">
        <v>279</v>
      </c>
      <c r="B6" s="150"/>
      <c r="C6" s="150"/>
      <c r="D6" s="151"/>
    </row>
    <row r="7" spans="1:5" ht="45" customHeight="1">
      <c r="A7" s="152" t="s">
        <v>274</v>
      </c>
      <c r="B7" s="150"/>
      <c r="C7" s="150" t="s">
        <v>275</v>
      </c>
      <c r="D7" s="153" t="s">
        <v>276</v>
      </c>
      <c r="E7" s="154" t="s">
        <v>305</v>
      </c>
    </row>
    <row r="8" spans="1:5" ht="13.2">
      <c r="A8" s="155"/>
      <c r="B8" s="151"/>
      <c r="C8" s="151"/>
      <c r="D8" s="151"/>
      <c r="E8" s="165" t="s">
        <v>306</v>
      </c>
    </row>
    <row r="9" spans="1:5" ht="12">
      <c r="A9" s="152"/>
      <c r="B9" s="150" t="s">
        <v>280</v>
      </c>
      <c r="C9" s="150"/>
      <c r="D9" s="150"/>
      <c r="E9" s="148"/>
    </row>
    <row r="10" spans="1:5" ht="12">
      <c r="A10" s="156">
        <v>1</v>
      </c>
      <c r="B10" s="157" t="s">
        <v>281</v>
      </c>
      <c r="C10" s="157"/>
      <c r="D10" s="158">
        <f>[1]CF!$E$23</f>
        <v>0.95584499999999994</v>
      </c>
      <c r="E10" s="148">
        <f>ROUND('Gas by Mo'!C96/1000,0)</f>
        <v>6259</v>
      </c>
    </row>
    <row r="11" spans="1:5" ht="12">
      <c r="A11" s="156">
        <v>2</v>
      </c>
      <c r="B11" s="159" t="s">
        <v>282</v>
      </c>
      <c r="C11" s="159"/>
      <c r="D11" s="159"/>
      <c r="E11" s="148"/>
    </row>
    <row r="12" spans="1:5" ht="12">
      <c r="A12" s="156">
        <v>3</v>
      </c>
      <c r="B12" s="159" t="s">
        <v>283</v>
      </c>
      <c r="C12" s="159"/>
      <c r="D12" s="159"/>
      <c r="E12" s="148">
        <f>ROUND('Gas by Mo'!C104/1000,0)</f>
        <v>-3321</v>
      </c>
    </row>
    <row r="13" spans="1:5" ht="12">
      <c r="A13" s="156">
        <v>4</v>
      </c>
      <c r="B13" s="159" t="s">
        <v>284</v>
      </c>
      <c r="C13" s="159"/>
      <c r="D13" s="159"/>
      <c r="E13" s="160">
        <f>SUM(E10:E12)</f>
        <v>2938</v>
      </c>
    </row>
    <row r="14" spans="1:5" ht="12">
      <c r="A14" s="156"/>
      <c r="B14" s="159"/>
      <c r="C14" s="159"/>
      <c r="D14" s="159"/>
      <c r="E14" s="148"/>
    </row>
    <row r="15" spans="1:5" ht="12">
      <c r="A15" s="156"/>
      <c r="B15" s="159" t="s">
        <v>285</v>
      </c>
      <c r="C15" s="159"/>
      <c r="D15" s="159"/>
      <c r="E15" s="148"/>
    </row>
    <row r="16" spans="1:5" ht="12">
      <c r="A16" s="156"/>
      <c r="B16" s="159" t="s">
        <v>286</v>
      </c>
      <c r="C16" s="159"/>
      <c r="D16" s="159"/>
      <c r="E16" s="148"/>
    </row>
    <row r="17" spans="1:5" ht="12">
      <c r="A17" s="156">
        <v>5</v>
      </c>
      <c r="B17" s="159"/>
      <c r="C17" s="159" t="s">
        <v>287</v>
      </c>
      <c r="D17" s="159"/>
      <c r="E17" s="148">
        <f>ROUND('Gas by Mo'!C130/1000,0)</f>
        <v>2651</v>
      </c>
    </row>
    <row r="18" spans="1:5" ht="12">
      <c r="A18" s="156">
        <v>6</v>
      </c>
      <c r="B18" s="159"/>
      <c r="C18" s="159" t="s">
        <v>288</v>
      </c>
      <c r="D18" s="159"/>
      <c r="E18" s="148">
        <f>ROUND('Gas by Mo'!C131/1000,0)</f>
        <v>4</v>
      </c>
    </row>
    <row r="19" spans="1:5" ht="12">
      <c r="A19" s="156">
        <v>7</v>
      </c>
      <c r="B19" s="159"/>
      <c r="C19" s="159" t="s">
        <v>289</v>
      </c>
      <c r="D19" s="159"/>
      <c r="E19" s="148"/>
    </row>
    <row r="20" spans="1:5" ht="12">
      <c r="A20" s="156">
        <v>8</v>
      </c>
      <c r="B20" s="159" t="s">
        <v>290</v>
      </c>
      <c r="C20" s="159"/>
      <c r="D20" s="159"/>
      <c r="E20" s="160">
        <f>SUM(E17:E19)</f>
        <v>2655</v>
      </c>
    </row>
    <row r="21" spans="1:5" ht="12">
      <c r="A21" s="156"/>
      <c r="B21" s="159"/>
      <c r="C21" s="159"/>
      <c r="D21" s="159"/>
      <c r="E21" s="148"/>
    </row>
    <row r="22" spans="1:5" ht="12">
      <c r="A22" s="156"/>
      <c r="B22" s="159" t="s">
        <v>291</v>
      </c>
      <c r="C22" s="161"/>
      <c r="D22" s="161"/>
      <c r="E22" s="148"/>
    </row>
    <row r="23" spans="1:5" ht="12">
      <c r="A23" s="156">
        <v>9</v>
      </c>
      <c r="B23" s="159"/>
      <c r="C23" s="159" t="s">
        <v>292</v>
      </c>
      <c r="D23" s="159"/>
      <c r="E23" s="148"/>
    </row>
    <row r="24" spans="1:5" ht="12">
      <c r="A24" s="156">
        <v>10</v>
      </c>
      <c r="B24" s="159"/>
      <c r="C24" s="159" t="s">
        <v>277</v>
      </c>
      <c r="D24" s="159"/>
      <c r="E24" s="148"/>
    </row>
    <row r="25" spans="1:5" ht="12">
      <c r="A25" s="156">
        <v>11</v>
      </c>
      <c r="B25" s="159"/>
      <c r="C25" s="159" t="s">
        <v>293</v>
      </c>
      <c r="D25" s="159"/>
      <c r="E25" s="148"/>
    </row>
    <row r="26" spans="1:5" ht="12">
      <c r="A26" s="156">
        <v>12</v>
      </c>
      <c r="B26" s="159" t="s">
        <v>294</v>
      </c>
      <c r="C26" s="159"/>
      <c r="D26" s="159"/>
      <c r="E26" s="160">
        <f>SUM(E23:E25)</f>
        <v>0</v>
      </c>
    </row>
    <row r="27" spans="1:5" ht="12">
      <c r="A27" s="156"/>
      <c r="B27" s="159"/>
      <c r="C27" s="159"/>
      <c r="D27" s="159"/>
      <c r="E27" s="148"/>
    </row>
    <row r="28" spans="1:5" ht="12">
      <c r="A28" s="156"/>
      <c r="B28" s="159" t="s">
        <v>295</v>
      </c>
      <c r="C28" s="159"/>
      <c r="D28" s="159"/>
      <c r="E28" s="148"/>
    </row>
    <row r="29" spans="1:5" ht="12">
      <c r="A29" s="156">
        <v>13</v>
      </c>
      <c r="B29" s="159"/>
      <c r="C29" s="159" t="s">
        <v>292</v>
      </c>
      <c r="D29" s="158"/>
      <c r="E29" s="148"/>
    </row>
    <row r="30" spans="1:5" ht="12">
      <c r="A30" s="156">
        <v>14</v>
      </c>
      <c r="B30" s="159"/>
      <c r="C30" s="159" t="s">
        <v>277</v>
      </c>
      <c r="D30" s="158"/>
      <c r="E30" s="148"/>
    </row>
    <row r="31" spans="1:5" ht="12">
      <c r="A31" s="156">
        <v>15</v>
      </c>
      <c r="B31" s="159"/>
      <c r="C31" s="159" t="s">
        <v>293</v>
      </c>
      <c r="D31" s="158">
        <f>[1]CF!$E$19</f>
        <v>3.8373999999999998E-2</v>
      </c>
      <c r="E31" s="148">
        <f>(E$10)*$D31</f>
        <v>240</v>
      </c>
    </row>
    <row r="32" spans="1:5" ht="12">
      <c r="A32" s="156">
        <v>16</v>
      </c>
      <c r="B32" s="159" t="s">
        <v>296</v>
      </c>
      <c r="C32" s="159"/>
      <c r="D32" s="158"/>
      <c r="E32" s="160">
        <f>SUM(E29:E31)</f>
        <v>240</v>
      </c>
    </row>
    <row r="33" spans="1:5" ht="12">
      <c r="A33" s="156"/>
      <c r="B33" s="159"/>
      <c r="C33" s="159"/>
      <c r="D33" s="158"/>
      <c r="E33" s="148"/>
    </row>
    <row r="34" spans="1:5" ht="12">
      <c r="A34" s="156">
        <v>17</v>
      </c>
      <c r="B34" s="159" t="s">
        <v>297</v>
      </c>
      <c r="C34" s="159"/>
      <c r="D34" s="158">
        <f>[1]CF!$E$15</f>
        <v>3.7810000000000001E-3</v>
      </c>
      <c r="E34" s="148">
        <f>(E$10)*$D34</f>
        <v>24</v>
      </c>
    </row>
    <row r="35" spans="1:5" ht="12">
      <c r="A35" s="156">
        <v>18</v>
      </c>
      <c r="B35" s="159" t="s">
        <v>298</v>
      </c>
      <c r="C35" s="159"/>
      <c r="D35" s="158"/>
      <c r="E35" s="148"/>
    </row>
    <row r="36" spans="1:5" ht="12">
      <c r="A36" s="156">
        <v>19</v>
      </c>
      <c r="B36" s="159" t="s">
        <v>299</v>
      </c>
      <c r="C36" s="159"/>
      <c r="D36" s="158"/>
      <c r="E36" s="148"/>
    </row>
    <row r="37" spans="1:5" ht="12">
      <c r="A37" s="156"/>
      <c r="B37" s="159"/>
      <c r="C37" s="159"/>
      <c r="D37" s="158"/>
      <c r="E37" s="148"/>
    </row>
    <row r="38" spans="1:5" ht="12">
      <c r="A38" s="156"/>
      <c r="B38" s="159" t="s">
        <v>300</v>
      </c>
      <c r="C38" s="159"/>
      <c r="D38" s="158"/>
      <c r="E38" s="148"/>
    </row>
    <row r="39" spans="1:5" ht="12">
      <c r="A39" s="162">
        <v>20</v>
      </c>
      <c r="B39" s="159"/>
      <c r="C39" s="159" t="s">
        <v>292</v>
      </c>
      <c r="D39" s="158">
        <f>[1]CF!$E$17</f>
        <v>2E-3</v>
      </c>
      <c r="E39" s="148">
        <f>(E$10)*$D39</f>
        <v>13</v>
      </c>
    </row>
    <row r="40" spans="1:5" ht="12">
      <c r="A40" s="156">
        <v>21</v>
      </c>
      <c r="B40" s="159"/>
      <c r="C40" s="159" t="s">
        <v>277</v>
      </c>
      <c r="D40" s="159"/>
      <c r="E40" s="148"/>
    </row>
    <row r="41" spans="1:5" ht="12">
      <c r="A41" s="156">
        <v>22</v>
      </c>
      <c r="B41" s="159"/>
      <c r="C41" s="159" t="s">
        <v>301</v>
      </c>
      <c r="D41" s="159"/>
      <c r="E41" s="148"/>
    </row>
    <row r="42" spans="1:5" ht="12">
      <c r="A42" s="156">
        <v>23</v>
      </c>
      <c r="B42" s="159"/>
      <c r="C42" s="159" t="s">
        <v>293</v>
      </c>
      <c r="D42" s="159"/>
      <c r="E42" s="148"/>
    </row>
    <row r="43" spans="1:5" ht="12">
      <c r="A43" s="156">
        <v>24</v>
      </c>
      <c r="B43" s="159" t="s">
        <v>302</v>
      </c>
      <c r="C43" s="159"/>
      <c r="D43" s="159"/>
      <c r="E43" s="160">
        <f>SUM(E39:E42)</f>
        <v>13</v>
      </c>
    </row>
    <row r="44" spans="1:5" ht="13.8">
      <c r="A44" s="163">
        <v>25</v>
      </c>
      <c r="B44" s="164" t="s">
        <v>303</v>
      </c>
      <c r="C44" s="164"/>
      <c r="D44" s="147"/>
      <c r="E44" s="148">
        <f>E20+E26+E32+E34+E35+E36+E43</f>
        <v>2932</v>
      </c>
    </row>
    <row r="45" spans="1:5" ht="13.8">
      <c r="A45" s="163"/>
      <c r="B45" s="164"/>
      <c r="C45" s="164"/>
      <c r="D45" s="147"/>
      <c r="E45" s="148"/>
    </row>
    <row r="46" spans="1:5" ht="13.8">
      <c r="A46" s="163">
        <v>26</v>
      </c>
      <c r="B46" s="164" t="s">
        <v>304</v>
      </c>
      <c r="C46" s="164"/>
      <c r="D46" s="147"/>
      <c r="E46" s="148">
        <f>E13-E44</f>
        <v>6</v>
      </c>
    </row>
  </sheetData>
  <pageMargins left="0.7" right="0.7" top="0.38" bottom="0.33" header="0.54" footer="0.3"/>
  <pageSetup scale="76" orientation="landscape" r:id="rId1"/>
  <headerFooter>
    <oddHeader>&amp;R&amp;F / 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workbookViewId="0">
      <selection activeCell="D40" sqref="D40"/>
    </sheetView>
  </sheetViews>
  <sheetFormatPr defaultRowHeight="9.6"/>
  <cols>
    <col min="1" max="1" width="8" customWidth="1"/>
    <col min="2" max="2" width="4.125" customWidth="1"/>
    <col min="3" max="3" width="22.5" customWidth="1"/>
    <col min="4" max="4" width="11.625" customWidth="1"/>
    <col min="5" max="5" width="14.75" customWidth="1"/>
  </cols>
  <sheetData>
    <row r="1" spans="1:5" ht="13.8">
      <c r="A1" s="147" t="s">
        <v>273</v>
      </c>
      <c r="B1" s="147"/>
      <c r="C1" s="147"/>
      <c r="D1" s="147"/>
    </row>
    <row r="2" spans="1:5" ht="13.8">
      <c r="A2" s="147" t="s">
        <v>278</v>
      </c>
      <c r="B2" s="147"/>
      <c r="C2" s="147"/>
      <c r="D2" s="147"/>
      <c r="E2" s="147" t="s">
        <v>316</v>
      </c>
    </row>
    <row r="3" spans="1:5" ht="13.8">
      <c r="A3" s="147" t="s">
        <v>362</v>
      </c>
      <c r="B3" s="147"/>
      <c r="C3" s="147"/>
      <c r="D3" s="147"/>
    </row>
    <row r="4" spans="1:5" ht="13.8">
      <c r="A4" s="147"/>
      <c r="B4" s="147"/>
      <c r="C4" s="147"/>
      <c r="D4" s="147"/>
    </row>
    <row r="5" spans="1:5" ht="13.8">
      <c r="A5" s="147"/>
      <c r="B5" s="147"/>
      <c r="C5" s="147"/>
      <c r="D5" s="147"/>
    </row>
    <row r="6" spans="1:5" ht="13.2">
      <c r="A6" s="149" t="s">
        <v>343</v>
      </c>
      <c r="B6" s="150"/>
      <c r="C6" s="150"/>
      <c r="D6" s="151"/>
    </row>
    <row r="7" spans="1:5" ht="39.6">
      <c r="A7" s="152" t="s">
        <v>274</v>
      </c>
      <c r="B7" s="150"/>
      <c r="C7" s="150" t="s">
        <v>275</v>
      </c>
      <c r="D7" s="153" t="s">
        <v>276</v>
      </c>
      <c r="E7" s="154" t="s">
        <v>305</v>
      </c>
    </row>
    <row r="8" spans="1:5" ht="13.2">
      <c r="A8" s="155"/>
      <c r="B8" s="151"/>
      <c r="C8" s="151"/>
      <c r="D8" s="151"/>
      <c r="E8" s="165" t="s">
        <v>306</v>
      </c>
    </row>
    <row r="9" spans="1:5" ht="12">
      <c r="A9" s="152"/>
      <c r="B9" s="150" t="s">
        <v>280</v>
      </c>
      <c r="C9" s="150"/>
      <c r="D9" s="150"/>
      <c r="E9" s="148"/>
    </row>
    <row r="10" spans="1:5" ht="12">
      <c r="A10" s="156">
        <v>1</v>
      </c>
      <c r="B10" s="157" t="s">
        <v>281</v>
      </c>
      <c r="C10" s="157"/>
      <c r="D10" s="158">
        <f>1-SUM(D34:D39)</f>
        <v>0.99480299999999999</v>
      </c>
      <c r="E10" s="148">
        <f>ROUND('Gas by Mo'!C113/1000,0)</f>
        <v>2681</v>
      </c>
    </row>
    <row r="11" spans="1:5" ht="12">
      <c r="A11" s="156">
        <v>2</v>
      </c>
      <c r="B11" s="159" t="s">
        <v>282</v>
      </c>
      <c r="C11" s="159"/>
      <c r="D11" s="159"/>
      <c r="E11" s="148"/>
    </row>
    <row r="12" spans="1:5" ht="12">
      <c r="A12" s="156">
        <v>3</v>
      </c>
      <c r="B12" s="159" t="s">
        <v>283</v>
      </c>
      <c r="C12" s="159"/>
      <c r="D12" s="159"/>
      <c r="E12" s="148">
        <f>ROUND('Gas by Mo'!C120/1000,0)</f>
        <v>-1615</v>
      </c>
    </row>
    <row r="13" spans="1:5" ht="12">
      <c r="A13" s="156">
        <v>4</v>
      </c>
      <c r="B13" s="159" t="s">
        <v>284</v>
      </c>
      <c r="C13" s="159"/>
      <c r="D13" s="159"/>
      <c r="E13" s="160">
        <f>SUM(E10:E12)</f>
        <v>1066</v>
      </c>
    </row>
    <row r="14" spans="1:5" ht="12">
      <c r="A14" s="156"/>
      <c r="B14" s="159"/>
      <c r="C14" s="159"/>
      <c r="D14" s="159"/>
      <c r="E14" s="148"/>
    </row>
    <row r="15" spans="1:5" ht="12">
      <c r="A15" s="156"/>
      <c r="B15" s="159" t="s">
        <v>285</v>
      </c>
      <c r="C15" s="159"/>
      <c r="D15" s="159"/>
      <c r="E15" s="148"/>
    </row>
    <row r="16" spans="1:5" ht="12">
      <c r="A16" s="156"/>
      <c r="B16" s="159" t="s">
        <v>286</v>
      </c>
      <c r="C16" s="159"/>
      <c r="D16" s="159"/>
      <c r="E16" s="148"/>
    </row>
    <row r="17" spans="1:5" ht="12">
      <c r="A17" s="156">
        <v>5</v>
      </c>
      <c r="B17" s="159"/>
      <c r="C17" s="159" t="s">
        <v>287</v>
      </c>
      <c r="D17" s="159"/>
      <c r="E17" s="148">
        <f>ROUND('Gas by Mo'!C135/1000,0)</f>
        <v>1094</v>
      </c>
    </row>
    <row r="18" spans="1:5" ht="12">
      <c r="A18" s="156">
        <v>6</v>
      </c>
      <c r="B18" s="159"/>
      <c r="C18" s="159" t="s">
        <v>288</v>
      </c>
      <c r="D18" s="159"/>
      <c r="E18" s="148">
        <f>ROUND('Gas by Mo'!C136/1000,0)</f>
        <v>2</v>
      </c>
    </row>
    <row r="19" spans="1:5" ht="12">
      <c r="A19" s="156">
        <v>7</v>
      </c>
      <c r="B19" s="159"/>
      <c r="C19" s="159" t="s">
        <v>289</v>
      </c>
      <c r="D19" s="159"/>
      <c r="E19" s="148"/>
    </row>
    <row r="20" spans="1:5" ht="12">
      <c r="A20" s="156">
        <v>8</v>
      </c>
      <c r="B20" s="159" t="s">
        <v>290</v>
      </c>
      <c r="C20" s="159"/>
      <c r="D20" s="159"/>
      <c r="E20" s="160">
        <f>SUM(E17:E19)</f>
        <v>1096</v>
      </c>
    </row>
    <row r="21" spans="1:5" ht="12">
      <c r="A21" s="156"/>
      <c r="B21" s="159"/>
      <c r="C21" s="159"/>
      <c r="D21" s="159"/>
      <c r="E21" s="148"/>
    </row>
    <row r="22" spans="1:5" ht="12">
      <c r="A22" s="156"/>
      <c r="B22" s="159" t="s">
        <v>291</v>
      </c>
      <c r="C22" s="161"/>
      <c r="D22" s="161"/>
      <c r="E22" s="148"/>
    </row>
    <row r="23" spans="1:5" ht="12">
      <c r="A23" s="156">
        <v>9</v>
      </c>
      <c r="B23" s="159"/>
      <c r="C23" s="159" t="s">
        <v>292</v>
      </c>
      <c r="D23" s="159"/>
      <c r="E23" s="148"/>
    </row>
    <row r="24" spans="1:5" ht="12">
      <c r="A24" s="156">
        <v>10</v>
      </c>
      <c r="B24" s="159"/>
      <c r="C24" s="159" t="s">
        <v>277</v>
      </c>
      <c r="D24" s="159"/>
      <c r="E24" s="148"/>
    </row>
    <row r="25" spans="1:5" ht="12">
      <c r="A25" s="156">
        <v>11</v>
      </c>
      <c r="B25" s="159"/>
      <c r="C25" s="159" t="s">
        <v>293</v>
      </c>
      <c r="D25" s="159"/>
      <c r="E25" s="148"/>
    </row>
    <row r="26" spans="1:5" ht="12">
      <c r="A26" s="156">
        <v>12</v>
      </c>
      <c r="B26" s="159" t="s">
        <v>294</v>
      </c>
      <c r="C26" s="159"/>
      <c r="D26" s="159"/>
      <c r="E26" s="160">
        <f>SUM(E23:E25)</f>
        <v>0</v>
      </c>
    </row>
    <row r="27" spans="1:5" ht="12">
      <c r="A27" s="156"/>
      <c r="B27" s="159"/>
      <c r="C27" s="159"/>
      <c r="D27" s="159"/>
      <c r="E27" s="148"/>
    </row>
    <row r="28" spans="1:5" ht="12">
      <c r="A28" s="156"/>
      <c r="B28" s="159" t="s">
        <v>295</v>
      </c>
      <c r="C28" s="159"/>
      <c r="D28" s="159"/>
      <c r="E28" s="148"/>
    </row>
    <row r="29" spans="1:5" ht="12">
      <c r="A29" s="156">
        <v>13</v>
      </c>
      <c r="B29" s="159"/>
      <c r="C29" s="159" t="s">
        <v>292</v>
      </c>
      <c r="D29" s="158"/>
      <c r="E29" s="148"/>
    </row>
    <row r="30" spans="1:5" ht="12">
      <c r="A30" s="156">
        <v>14</v>
      </c>
      <c r="B30" s="159"/>
      <c r="C30" s="159" t="s">
        <v>277</v>
      </c>
      <c r="D30" s="158"/>
      <c r="E30" s="148"/>
    </row>
    <row r="31" spans="1:5" ht="12">
      <c r="A31" s="156">
        <v>15</v>
      </c>
      <c r="B31" s="159"/>
      <c r="C31" s="159" t="s">
        <v>293</v>
      </c>
      <c r="D31" s="158"/>
      <c r="E31" s="148">
        <f>(E$10)*$D31</f>
        <v>0</v>
      </c>
    </row>
    <row r="32" spans="1:5" ht="12">
      <c r="A32" s="156">
        <v>16</v>
      </c>
      <c r="B32" s="159" t="s">
        <v>296</v>
      </c>
      <c r="C32" s="159"/>
      <c r="D32" s="158"/>
      <c r="E32" s="160">
        <f>SUM(E29:E31)</f>
        <v>0</v>
      </c>
    </row>
    <row r="33" spans="1:5" ht="12">
      <c r="A33" s="156"/>
      <c r="B33" s="159"/>
      <c r="C33" s="159"/>
      <c r="D33" s="158"/>
      <c r="E33" s="148"/>
    </row>
    <row r="34" spans="1:5" ht="12">
      <c r="A34" s="156">
        <v>17</v>
      </c>
      <c r="B34" s="159" t="s">
        <v>297</v>
      </c>
      <c r="C34" s="159"/>
      <c r="D34" s="158">
        <f>'[2]CF ID Gas'!$E$11</f>
        <v>2.9220000000000001E-3</v>
      </c>
      <c r="E34" s="148">
        <f>(E$10)*$D34</f>
        <v>8</v>
      </c>
    </row>
    <row r="35" spans="1:5" ht="12">
      <c r="A35" s="156">
        <v>18</v>
      </c>
      <c r="B35" s="159" t="s">
        <v>298</v>
      </c>
      <c r="C35" s="159"/>
      <c r="D35" s="158"/>
      <c r="E35" s="148"/>
    </row>
    <row r="36" spans="1:5" ht="12">
      <c r="A36" s="156">
        <v>19</v>
      </c>
      <c r="B36" s="159" t="s">
        <v>299</v>
      </c>
      <c r="C36" s="159"/>
      <c r="D36" s="158"/>
      <c r="E36" s="148"/>
    </row>
    <row r="37" spans="1:5" ht="12">
      <c r="A37" s="156"/>
      <c r="B37" s="159"/>
      <c r="C37" s="159"/>
      <c r="D37" s="158"/>
      <c r="E37" s="148"/>
    </row>
    <row r="38" spans="1:5" ht="12">
      <c r="A38" s="156"/>
      <c r="B38" s="159" t="s">
        <v>300</v>
      </c>
      <c r="C38" s="159"/>
      <c r="D38" s="158"/>
      <c r="E38" s="148"/>
    </row>
    <row r="39" spans="1:5" ht="12">
      <c r="A39" s="162">
        <v>20</v>
      </c>
      <c r="B39" s="159"/>
      <c r="C39" s="159" t="s">
        <v>292</v>
      </c>
      <c r="D39" s="158">
        <f>'[2]CF ID Gas'!$E$13</f>
        <v>2.2750000000000001E-3</v>
      </c>
      <c r="E39" s="148">
        <f>(E$10)*$D39</f>
        <v>6</v>
      </c>
    </row>
    <row r="40" spans="1:5" ht="12">
      <c r="A40" s="156">
        <v>21</v>
      </c>
      <c r="B40" s="159"/>
      <c r="C40" s="159" t="s">
        <v>277</v>
      </c>
      <c r="D40" s="159"/>
      <c r="E40" s="148"/>
    </row>
    <row r="41" spans="1:5" ht="12">
      <c r="A41" s="156">
        <v>22</v>
      </c>
      <c r="B41" s="159"/>
      <c r="C41" s="159" t="s">
        <v>301</v>
      </c>
      <c r="D41" s="159"/>
      <c r="E41" s="148"/>
    </row>
    <row r="42" spans="1:5" ht="12">
      <c r="A42" s="156">
        <v>23</v>
      </c>
      <c r="B42" s="159"/>
      <c r="C42" s="159" t="s">
        <v>293</v>
      </c>
      <c r="D42" s="159"/>
      <c r="E42" s="148"/>
    </row>
    <row r="43" spans="1:5" ht="12">
      <c r="A43" s="156">
        <v>24</v>
      </c>
      <c r="B43" s="159" t="s">
        <v>302</v>
      </c>
      <c r="C43" s="159"/>
      <c r="D43" s="159"/>
      <c r="E43" s="160">
        <f>SUM(E39:E42)</f>
        <v>6</v>
      </c>
    </row>
    <row r="44" spans="1:5" ht="13.8">
      <c r="A44" s="163">
        <v>25</v>
      </c>
      <c r="B44" s="164" t="s">
        <v>303</v>
      </c>
      <c r="C44" s="164"/>
      <c r="D44" s="147"/>
      <c r="E44" s="148">
        <f>E20+E26+E32+E34+E35+E36+E43</f>
        <v>1110</v>
      </c>
    </row>
    <row r="45" spans="1:5" ht="13.8">
      <c r="A45" s="163"/>
      <c r="B45" s="164"/>
      <c r="C45" s="164"/>
      <c r="D45" s="147"/>
      <c r="E45" s="148"/>
    </row>
    <row r="46" spans="1:5" ht="13.8">
      <c r="A46" s="163">
        <v>26</v>
      </c>
      <c r="B46" s="164" t="s">
        <v>304</v>
      </c>
      <c r="C46" s="164"/>
      <c r="D46" s="147"/>
      <c r="E46" s="148">
        <f>E13-E44</f>
        <v>-44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9A4CAB8-573C-44B3-8274-5C988632CD00}"/>
</file>

<file path=customXml/itemProps2.xml><?xml version="1.0" encoding="utf-8"?>
<ds:datastoreItem xmlns:ds="http://schemas.openxmlformats.org/officeDocument/2006/customXml" ds:itemID="{8E3446D0-2DE6-4C73-A278-05FBE95C9978}"/>
</file>

<file path=customXml/itemProps3.xml><?xml version="1.0" encoding="utf-8"?>
<ds:datastoreItem xmlns:ds="http://schemas.openxmlformats.org/officeDocument/2006/customXml" ds:itemID="{23225B54-B137-413B-A1AC-A62F444868CA}"/>
</file>

<file path=customXml/itemProps4.xml><?xml version="1.0" encoding="utf-8"?>
<ds:datastoreItem xmlns:ds="http://schemas.openxmlformats.org/officeDocument/2006/customXml" ds:itemID="{879D79E7-9427-4C55-8674-79A62547BE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Gas by Mo</vt:lpstr>
      <vt:lpstr>Gas Factors</vt:lpstr>
      <vt:lpstr>30 yr avg Heating </vt:lpstr>
      <vt:lpstr>Cust Data</vt:lpstr>
      <vt:lpstr>DDH</vt:lpstr>
      <vt:lpstr>WA Adj Summary</vt:lpstr>
      <vt:lpstr>ID Adj Summary</vt:lpstr>
      <vt:lpstr>'30 yr avg Heating '!Print_Area</vt:lpstr>
      <vt:lpstr>'Cust Data'!Print_Area</vt:lpstr>
      <vt:lpstr>DDH!Print_Area</vt:lpstr>
      <vt:lpstr>'Gas by Mo'!Print_Area</vt:lpstr>
      <vt:lpstr>'Gas Factors'!Print_Area</vt:lpstr>
      <vt:lpstr>'Gas by Mo'!Print_Titles</vt:lpstr>
      <vt:lpstr>'Gas Factors'!Print_Titles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Knox, Tara</dc:creator>
  <cp:lastModifiedBy>gzhkw6</cp:lastModifiedBy>
  <cp:lastPrinted>2019-02-19T22:00:15Z</cp:lastPrinted>
  <dcterms:created xsi:type="dcterms:W3CDTF">1997-07-31T22:54:06Z</dcterms:created>
  <dcterms:modified xsi:type="dcterms:W3CDTF">2019-02-19T22:10:18Z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