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ates215\OneDrive - Washington State Executive Branch Agencies\2018\Dockets (Monthly)\October\26\UG-171010\"/>
    </mc:Choice>
  </mc:AlternateContent>
  <bookViews>
    <workbookView xWindow="0" yWindow="0" windowWidth="15330" windowHeight="5955" activeTab="2"/>
  </bookViews>
  <sheets>
    <sheet name="Core Cost Incurred" sheetId="14" r:id="rId1"/>
    <sheet name="WA Rates" sheetId="9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_xlnm.Print_Area" localSheetId="0">'Core Cost Incurred'!$B$1:$Z$48</definedName>
    <definedName name="_xlnm.Print_Area" localSheetId="2">DEFERRALS!$B$1:$H$22</definedName>
    <definedName name="_xlnm.Print_Area" localSheetId="1">'WA Rates'!$B$1:$N$52</definedName>
    <definedName name="_xlnm.Print_Titles" localSheetId="0">'Core Cost Incurred'!$B:$F</definedName>
    <definedName name="_xlnm.Print_Titles" localSheetId="1">'WA Rates'!$1:$8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G8" i="15" s="1"/>
  <c r="G9" i="15" s="1"/>
  <c r="G12" i="15" s="1"/>
  <c r="E8" i="15"/>
  <c r="E9" i="15"/>
  <c r="E12" i="15" s="1"/>
  <c r="F9" i="15"/>
  <c r="F12" i="15"/>
  <c r="E18" i="15"/>
  <c r="F18" i="15"/>
  <c r="D12" i="15" l="1"/>
  <c r="D18" i="15" s="1"/>
  <c r="G18" i="15" s="1"/>
  <c r="D9" i="15"/>
  <c r="V71" i="14" l="1"/>
  <c r="S71" i="14"/>
  <c r="AC43" i="14"/>
  <c r="AB43" i="14"/>
  <c r="Z43" i="14"/>
  <c r="W43" i="14"/>
  <c r="AC42" i="14"/>
  <c r="AC44" i="14" s="1"/>
  <c r="AB42" i="14"/>
  <c r="AB44" i="14" s="1"/>
  <c r="Z42" i="14"/>
  <c r="Z44" i="14" s="1"/>
  <c r="W42" i="14"/>
  <c r="W44" i="14" s="1"/>
  <c r="Q47" i="14" s="1"/>
  <c r="Y40" i="14"/>
  <c r="S40" i="14"/>
  <c r="AC38" i="14"/>
  <c r="AC40" i="14" s="1"/>
  <c r="AB38" i="14"/>
  <c r="AB40" i="14" s="1"/>
  <c r="Z38" i="14"/>
  <c r="Z40" i="14" s="1"/>
  <c r="W38" i="14"/>
  <c r="W40" i="14" s="1"/>
  <c r="T38" i="14"/>
  <c r="Q38" i="14"/>
  <c r="N37" i="14"/>
  <c r="K37" i="14"/>
  <c r="H37" i="14"/>
  <c r="N36" i="14"/>
  <c r="K36" i="14"/>
  <c r="H36" i="14"/>
  <c r="N35" i="14"/>
  <c r="H35" i="14" s="1"/>
  <c r="K35" i="14"/>
  <c r="N34" i="14"/>
  <c r="K34" i="14"/>
  <c r="H34" i="14" s="1"/>
  <c r="N33" i="14"/>
  <c r="K33" i="14"/>
  <c r="H33" i="14"/>
  <c r="N32" i="14"/>
  <c r="K32" i="14"/>
  <c r="H32" i="14"/>
  <c r="N31" i="14"/>
  <c r="H31" i="14" s="1"/>
  <c r="K31" i="14"/>
  <c r="N30" i="14"/>
  <c r="K30" i="14"/>
  <c r="H30" i="14" s="1"/>
  <c r="N29" i="14"/>
  <c r="K29" i="14"/>
  <c r="H29" i="14"/>
  <c r="N28" i="14"/>
  <c r="K28" i="14"/>
  <c r="H28" i="14"/>
  <c r="N27" i="14"/>
  <c r="H27" i="14" s="1"/>
  <c r="K27" i="14"/>
  <c r="N26" i="14"/>
  <c r="N38" i="14" s="1"/>
  <c r="K26" i="14"/>
  <c r="H26" i="14" s="1"/>
  <c r="N25" i="14"/>
  <c r="K25" i="14"/>
  <c r="H25" i="14"/>
  <c r="N24" i="14"/>
  <c r="K24" i="14"/>
  <c r="H24" i="14"/>
  <c r="AC22" i="14"/>
  <c r="AB22" i="14"/>
  <c r="Z22" i="14"/>
  <c r="W22" i="14"/>
  <c r="T22" i="14"/>
  <c r="T40" i="14" s="1"/>
  <c r="T21" i="14"/>
  <c r="Q21" i="14"/>
  <c r="N21" i="14"/>
  <c r="K21" i="14"/>
  <c r="H21" i="14" s="1"/>
  <c r="N20" i="14"/>
  <c r="K20" i="14"/>
  <c r="H20" i="14"/>
  <c r="N19" i="14"/>
  <c r="K19" i="14"/>
  <c r="H19" i="14"/>
  <c r="N18" i="14"/>
  <c r="H18" i="14" s="1"/>
  <c r="K18" i="14"/>
  <c r="T17" i="14"/>
  <c r="T43" i="14" s="1"/>
  <c r="Q17" i="14"/>
  <c r="Q43" i="14" s="1"/>
  <c r="AC15" i="14"/>
  <c r="AB15" i="14"/>
  <c r="Z15" i="14"/>
  <c r="Y15" i="14"/>
  <c r="W15" i="14"/>
  <c r="V15" i="14"/>
  <c r="V40" i="14" s="1"/>
  <c r="T15" i="14"/>
  <c r="S15" i="14"/>
  <c r="N14" i="14"/>
  <c r="M14" i="14"/>
  <c r="K14" i="14"/>
  <c r="J14" i="14"/>
  <c r="G14" i="14" s="1"/>
  <c r="H14" i="14"/>
  <c r="N13" i="14"/>
  <c r="M13" i="14"/>
  <c r="G13" i="14" s="1"/>
  <c r="K13" i="14"/>
  <c r="H13" i="14" s="1"/>
  <c r="J13" i="14"/>
  <c r="Q12" i="14"/>
  <c r="Q42" i="14" s="1"/>
  <c r="Q44" i="14" s="1"/>
  <c r="Q46" i="14" s="1"/>
  <c r="Q48" i="14" s="1"/>
  <c r="N12" i="14"/>
  <c r="M12" i="14"/>
  <c r="J12" i="14"/>
  <c r="G12" i="14" s="1"/>
  <c r="N11" i="14"/>
  <c r="M11" i="14"/>
  <c r="K11" i="14"/>
  <c r="J11" i="14"/>
  <c r="H11" i="14"/>
  <c r="G11" i="14"/>
  <c r="T10" i="14"/>
  <c r="T42" i="14" s="1"/>
  <c r="T44" i="14" s="1"/>
  <c r="T46" i="14" s="1"/>
  <c r="S10" i="14"/>
  <c r="M10" i="14" s="1"/>
  <c r="M15" i="14" s="1"/>
  <c r="M40" i="14" s="1"/>
  <c r="P10" i="14"/>
  <c r="P15" i="14" s="1"/>
  <c r="P40" i="14" s="1"/>
  <c r="N10" i="14"/>
  <c r="N42" i="14" s="1"/>
  <c r="K10" i="14"/>
  <c r="J10" i="14"/>
  <c r="G10" i="14" s="1"/>
  <c r="H10" i="14"/>
  <c r="N9" i="14"/>
  <c r="K9" i="14"/>
  <c r="H9" i="14"/>
  <c r="N8" i="14"/>
  <c r="M8" i="14"/>
  <c r="K8" i="14"/>
  <c r="H8" i="14" s="1"/>
  <c r="J8" i="14"/>
  <c r="G8" i="14" s="1"/>
  <c r="G15" i="14" s="1"/>
  <c r="G40" i="14" s="1"/>
  <c r="N7" i="14"/>
  <c r="K7" i="14"/>
  <c r="N6" i="14"/>
  <c r="N15" i="14" s="1"/>
  <c r="K6" i="14"/>
  <c r="H6" i="14"/>
  <c r="W3" i="14"/>
  <c r="W1" i="14"/>
  <c r="G59" i="9"/>
  <c r="G58" i="9"/>
  <c r="G57" i="9"/>
  <c r="G56" i="9"/>
  <c r="J46" i="9"/>
  <c r="I46" i="9"/>
  <c r="H46" i="9"/>
  <c r="G46" i="9"/>
  <c r="M46" i="9" s="1"/>
  <c r="M44" i="9"/>
  <c r="L44" i="9"/>
  <c r="K44" i="9"/>
  <c r="N44" i="9" s="1"/>
  <c r="J44" i="9"/>
  <c r="I44" i="9"/>
  <c r="H44" i="9"/>
  <c r="L43" i="9"/>
  <c r="K43" i="9"/>
  <c r="J43" i="9"/>
  <c r="M43" i="9" s="1"/>
  <c r="N43" i="9" s="1"/>
  <c r="I43" i="9"/>
  <c r="H43" i="9"/>
  <c r="M42" i="9"/>
  <c r="K42" i="9"/>
  <c r="J42" i="9"/>
  <c r="I42" i="9"/>
  <c r="L42" i="9" s="1"/>
  <c r="N42" i="9" s="1"/>
  <c r="H42" i="9"/>
  <c r="M41" i="9"/>
  <c r="L41" i="9"/>
  <c r="J41" i="9"/>
  <c r="I41" i="9"/>
  <c r="H41" i="9"/>
  <c r="K41" i="9" s="1"/>
  <c r="N41" i="9" s="1"/>
  <c r="M40" i="9"/>
  <c r="L40" i="9"/>
  <c r="K40" i="9"/>
  <c r="N40" i="9" s="1"/>
  <c r="J40" i="9"/>
  <c r="I40" i="9"/>
  <c r="H40" i="9"/>
  <c r="L39" i="9"/>
  <c r="K39" i="9"/>
  <c r="J39" i="9"/>
  <c r="M39" i="9" s="1"/>
  <c r="N39" i="9" s="1"/>
  <c r="I39" i="9"/>
  <c r="H39" i="9"/>
  <c r="M37" i="9"/>
  <c r="K37" i="9"/>
  <c r="J37" i="9"/>
  <c r="I37" i="9"/>
  <c r="L37" i="9" s="1"/>
  <c r="N37" i="9" s="1"/>
  <c r="H37" i="9"/>
  <c r="M36" i="9"/>
  <c r="K36" i="9"/>
  <c r="J36" i="9"/>
  <c r="I36" i="9"/>
  <c r="L36" i="9" s="1"/>
  <c r="N36" i="9" s="1"/>
  <c r="O36" i="9" s="1"/>
  <c r="H36" i="9"/>
  <c r="M35" i="9"/>
  <c r="L35" i="9"/>
  <c r="J35" i="9"/>
  <c r="H35" i="9"/>
  <c r="K35" i="9" s="1"/>
  <c r="N35" i="9" s="1"/>
  <c r="L33" i="9"/>
  <c r="K33" i="9"/>
  <c r="J33" i="9"/>
  <c r="M33" i="9" s="1"/>
  <c r="N33" i="9" s="1"/>
  <c r="I33" i="9"/>
  <c r="H33" i="9"/>
  <c r="M32" i="9"/>
  <c r="K32" i="9"/>
  <c r="J32" i="9"/>
  <c r="I32" i="9"/>
  <c r="L32" i="9" s="1"/>
  <c r="N32" i="9" s="1"/>
  <c r="H32" i="9"/>
  <c r="M31" i="9"/>
  <c r="L31" i="9"/>
  <c r="J31" i="9"/>
  <c r="I31" i="9"/>
  <c r="H31" i="9"/>
  <c r="K31" i="9" s="1"/>
  <c r="N31" i="9" s="1"/>
  <c r="M29" i="9"/>
  <c r="L29" i="9"/>
  <c r="K29" i="9"/>
  <c r="N29" i="9" s="1"/>
  <c r="J29" i="9"/>
  <c r="I29" i="9"/>
  <c r="H29" i="9"/>
  <c r="L28" i="9"/>
  <c r="K28" i="9"/>
  <c r="J28" i="9"/>
  <c r="M28" i="9" s="1"/>
  <c r="N28" i="9" s="1"/>
  <c r="I28" i="9"/>
  <c r="H28" i="9"/>
  <c r="M27" i="9"/>
  <c r="K27" i="9"/>
  <c r="J27" i="9"/>
  <c r="I27" i="9"/>
  <c r="L27" i="9" s="1"/>
  <c r="N27" i="9" s="1"/>
  <c r="H27" i="9"/>
  <c r="M25" i="9"/>
  <c r="L25" i="9"/>
  <c r="J25" i="9"/>
  <c r="I25" i="9"/>
  <c r="I23" i="9" s="1"/>
  <c r="L23" i="9" s="1"/>
  <c r="H25" i="9"/>
  <c r="K25" i="9" s="1"/>
  <c r="N25" i="9" s="1"/>
  <c r="M24" i="9"/>
  <c r="K24" i="9"/>
  <c r="J24" i="9"/>
  <c r="H24" i="9"/>
  <c r="K23" i="9"/>
  <c r="J23" i="9"/>
  <c r="M23" i="9" s="1"/>
  <c r="H23" i="9"/>
  <c r="M22" i="9"/>
  <c r="K22" i="9"/>
  <c r="J22" i="9"/>
  <c r="I22" i="9"/>
  <c r="L22" i="9" s="1"/>
  <c r="N22" i="9" s="1"/>
  <c r="H22" i="9"/>
  <c r="U21" i="9"/>
  <c r="R21" i="9"/>
  <c r="L21" i="9"/>
  <c r="K21" i="9"/>
  <c r="J21" i="9"/>
  <c r="M21" i="9" s="1"/>
  <c r="N21" i="9" s="1"/>
  <c r="I21" i="9"/>
  <c r="H21" i="9"/>
  <c r="U20" i="9"/>
  <c r="L20" i="9"/>
  <c r="K20" i="9"/>
  <c r="J20" i="9"/>
  <c r="M20" i="9" s="1"/>
  <c r="N20" i="9" s="1"/>
  <c r="H20" i="9"/>
  <c r="L18" i="9"/>
  <c r="K18" i="9"/>
  <c r="N18" i="9" s="1"/>
  <c r="J18" i="9"/>
  <c r="I18" i="9"/>
  <c r="H18" i="9"/>
  <c r="U17" i="9"/>
  <c r="R17" i="9"/>
  <c r="L17" i="9"/>
  <c r="K17" i="9"/>
  <c r="N17" i="9" s="1"/>
  <c r="J17" i="9"/>
  <c r="I17" i="9"/>
  <c r="H17" i="9"/>
  <c r="L16" i="9"/>
  <c r="K16" i="9"/>
  <c r="J16" i="9"/>
  <c r="M16" i="9" s="1"/>
  <c r="N16" i="9" s="1"/>
  <c r="I16" i="9"/>
  <c r="H16" i="9"/>
  <c r="M15" i="9"/>
  <c r="K15" i="9"/>
  <c r="J15" i="9"/>
  <c r="I15" i="9"/>
  <c r="L15" i="9" s="1"/>
  <c r="N15" i="9" s="1"/>
  <c r="H15" i="9"/>
  <c r="L13" i="9"/>
  <c r="K13" i="9"/>
  <c r="N13" i="9" s="1"/>
  <c r="J13" i="9"/>
  <c r="I13" i="9"/>
  <c r="H13" i="9"/>
  <c r="K12" i="9"/>
  <c r="J12" i="9"/>
  <c r="I12" i="9"/>
  <c r="L12" i="9" s="1"/>
  <c r="N12" i="9" s="1"/>
  <c r="H12" i="9"/>
  <c r="M11" i="9"/>
  <c r="L11" i="9"/>
  <c r="J11" i="9"/>
  <c r="H11" i="9"/>
  <c r="K11" i="9" s="1"/>
  <c r="N11" i="9" s="1"/>
  <c r="U10" i="9"/>
  <c r="T10" i="9"/>
  <c r="R10" i="9"/>
  <c r="Q10" i="9"/>
  <c r="L10" i="9"/>
  <c r="K10" i="9"/>
  <c r="J10" i="9"/>
  <c r="M10" i="9" s="1"/>
  <c r="N10" i="9" s="1"/>
  <c r="I10" i="9"/>
  <c r="H10" i="9"/>
  <c r="M9" i="9"/>
  <c r="L9" i="9"/>
  <c r="K9" i="9"/>
  <c r="R8" i="9"/>
  <c r="J8" i="9"/>
  <c r="I8" i="9"/>
  <c r="F3" i="9"/>
  <c r="Q59" i="14"/>
  <c r="S59" i="14"/>
  <c r="S61" i="14"/>
  <c r="P60" i="14"/>
  <c r="T61" i="14"/>
  <c r="Q61" i="14"/>
  <c r="P59" i="14"/>
  <c r="Q60" i="14"/>
  <c r="P61" i="14"/>
  <c r="T59" i="14"/>
  <c r="T62" i="14" l="1"/>
  <c r="Q62" i="14"/>
  <c r="H38" i="14"/>
  <c r="T48" i="14"/>
  <c r="Z46" i="14"/>
  <c r="T47" i="14"/>
  <c r="Q15" i="14"/>
  <c r="K38" i="14"/>
  <c r="W48" i="14"/>
  <c r="K12" i="14"/>
  <c r="H7" i="14"/>
  <c r="J15" i="14"/>
  <c r="J40" i="14" s="1"/>
  <c r="N17" i="14"/>
  <c r="N22" i="14" s="1"/>
  <c r="N40" i="14" s="1"/>
  <c r="Q22" i="14"/>
  <c r="Q40" i="14" s="1"/>
  <c r="K15" i="14"/>
  <c r="K17" i="14"/>
  <c r="M48" i="9"/>
  <c r="M50" i="9" s="1"/>
  <c r="K48" i="9"/>
  <c r="K50" i="9" s="1"/>
  <c r="L48" i="9"/>
  <c r="L50" i="9" s="1"/>
  <c r="N23" i="9"/>
  <c r="K46" i="9"/>
  <c r="N46" i="9" s="1"/>
  <c r="G48" i="9"/>
  <c r="G50" i="9" s="1"/>
  <c r="G73" i="9" s="1"/>
  <c r="N9" i="9"/>
  <c r="L46" i="9"/>
  <c r="I24" i="9"/>
  <c r="L24" i="9" s="1"/>
  <c r="N24" i="9" s="1"/>
  <c r="H12" i="14" l="1"/>
  <c r="H15" i="14" s="1"/>
  <c r="K42" i="14"/>
  <c r="K44" i="14" s="1"/>
  <c r="N43" i="14"/>
  <c r="N44" i="14" s="1"/>
  <c r="K22" i="14"/>
  <c r="H17" i="14"/>
  <c r="H22" i="14" s="1"/>
  <c r="K40" i="14"/>
  <c r="H40" i="14"/>
  <c r="K43" i="14"/>
  <c r="N48" i="9"/>
  <c r="K46" i="14" l="1"/>
  <c r="N50" i="9"/>
  <c r="Q49" i="9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K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Z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sharedStrings.xml><?xml version="1.0" encoding="utf-8"?>
<sst xmlns="http://schemas.openxmlformats.org/spreadsheetml/2006/main" count="469" uniqueCount="208">
  <si>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</si>
  <si>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</si>
  <si>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</si>
  <si>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</si>
  <si>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</si>
  <si>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</si>
  <si>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</si>
  <si>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</si>
  <si>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</si>
  <si>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</si>
  <si>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</si>
  <si>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</si>
  <si>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</si>
  <si>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</si>
  <si>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</si>
  <si>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</si>
  <si>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</si>
  <si>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</si>
  <si>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</si>
  <si>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</si>
  <si>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Regular cycle</t>
  </si>
  <si>
    <t>47WA.6011.28040</t>
  </si>
  <si>
    <t>GC RECOGNIZED RS 15020</t>
  </si>
  <si>
    <t>Firm Res - air con</t>
  </si>
  <si>
    <t>541</t>
  </si>
  <si>
    <t>GC RECOGNIZED RS 15410</t>
  </si>
  <si>
    <t>Firm Residentials</t>
  </si>
  <si>
    <t>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</si>
  <si>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</si>
  <si>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</si>
  <si>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</si>
  <si>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</si>
  <si>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</si>
  <si>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</si>
  <si>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</si>
  <si>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</si>
  <si>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GC RECOGNIZED RS 25040</t>
  </si>
  <si>
    <t>47WA.4009.4810</t>
  </si>
  <si>
    <t>Firm Com - Lg Vol</t>
  </si>
  <si>
    <t>511</t>
  </si>
  <si>
    <t>GC RECOGNIZED RS 25110</t>
  </si>
  <si>
    <t>Firm Com - Compressed NG</t>
  </si>
  <si>
    <t>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</si>
  <si>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</si>
  <si>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</si>
  <si>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</si>
  <si>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</si>
  <si>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</si>
  <si>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</si>
  <si>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</si>
  <si>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</si>
  <si>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</si>
  <si>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</si>
  <si>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</si>
  <si>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</si>
  <si>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</si>
  <si>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</si>
  <si>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47WA.4002.4811</t>
  </si>
  <si>
    <t>Interr Small Commercial</t>
  </si>
  <si>
    <t>4</t>
  </si>
  <si>
    <t>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</si>
  <si>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</si>
  <si>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</si>
  <si>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</si>
  <si>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</si>
  <si>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</si>
  <si>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</si>
  <si>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</si>
  <si>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</si>
  <si>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</si>
  <si>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</si>
  <si>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</si>
  <si>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</si>
  <si>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</si>
  <si>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</si>
  <si>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</si>
  <si>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</si>
  <si>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</si>
  <si>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</si>
  <si>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</si>
  <si>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</si>
  <si>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</si>
  <si>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</si>
  <si>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</si>
  <si>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</si>
  <si>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</si>
  <si>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</si>
  <si>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</si>
  <si>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</si>
  <si>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</si>
  <si>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</si>
  <si>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</si>
  <si>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</si>
  <si>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</si>
  <si>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</si>
  <si>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</si>
  <si>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 xml:space="preserve"> Washington Deferrals</t>
  </si>
  <si>
    <t xml:space="preserve"> 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</si>
  <si>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</si>
  <si>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</si>
  <si>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</si>
  <si>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</si>
  <si>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</si>
  <si>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</si>
  <si>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</si>
  <si>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</si>
  <si>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</si>
  <si>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</si>
  <si>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</si>
  <si>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</si>
  <si>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</si>
  <si>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</si>
  <si>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</si>
  <si>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</si>
  <si>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</si>
  <si>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 xml:space="preserve"> Assignment of Core Gas Cost To</t>
  </si>
  <si>
    <t xml:space="preserve"> Class &amp; Rate Schedule</t>
  </si>
  <si>
    <t xml:space="preserve"> Core Gas Cost</t>
  </si>
  <si>
    <t xml:space="preserve"> Revenue &amp; Cost by Rate Schedule - WA</t>
  </si>
  <si>
    <t>Sep 1 2017</t>
  </si>
  <si>
    <t>CNGWA 502</t>
  </si>
  <si>
    <t>Moved to 503 - 9/18</t>
  </si>
  <si>
    <t>CNGWA 541</t>
  </si>
  <si>
    <t>CNGWA 503</t>
  </si>
  <si>
    <t>CNGWA 504</t>
  </si>
  <si>
    <t>CNGWA 511</t>
  </si>
  <si>
    <t>CNGWA 512</t>
  </si>
  <si>
    <r>
      <t>CNGWA</t>
    </r>
    <r>
      <rPr>
        <b/>
        <sz val="10"/>
        <rFont val="Arial"/>
        <family val="2"/>
      </rPr>
      <t xml:space="preserve"> 04LV</t>
    </r>
  </si>
  <si>
    <t>CNGWA 04LV</t>
  </si>
  <si>
    <t>CNGWA 505</t>
  </si>
  <si>
    <t>CNGWA 05LV</t>
  </si>
  <si>
    <t>CNGWA 570</t>
  </si>
  <si>
    <t>CNGWA 577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</si>
  <si>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</si>
  <si>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</si>
  <si>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</si>
  <si>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</si>
  <si>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</si>
  <si>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</si>
  <si>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</si>
  <si>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</si>
  <si>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</si>
  <si>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</si>
  <si>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</si>
  <si>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</si>
  <si>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</si>
  <si>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</si>
  <si>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</si>
  <si>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</si>
  <si>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</si>
  <si>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</si>
  <si>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</si>
  <si>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</si>
  <si>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</si>
  <si>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</si>
  <si>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</si>
  <si>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</si>
  <si>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</si>
  <si>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</si>
  <si>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</si>
  <si>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</si>
  <si>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</si>
  <si>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</si>
  <si>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</si>
  <si>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</si>
  <si>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</si>
  <si>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</si>
  <si>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</si>
  <si>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</si>
  <si>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</si>
  <si>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</si>
  <si>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</si>
  <si>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</si>
  <si>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</si>
  <si>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</si>
  <si>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</si>
  <si>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</si>
  <si>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</si>
  <si>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</si>
  <si>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</si>
  <si>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</si>
  <si>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</si>
  <si>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</si>
  <si>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</si>
  <si>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</si>
  <si>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</si>
  <si>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</si>
  <si>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</si>
  <si>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</si>
  <si>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</si>
  <si>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</si>
  <si>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</si>
  <si>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</si>
  <si>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</si>
  <si>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</si>
  <si>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</si>
  <si>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</si>
  <si>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8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</si>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</sst>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  <numFmt numFmtId="170" formatCode="_(* #,##0.0000_);_(* \(#,##0.0000\);_(* &quot;-&quot;??_);_(@_)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7">
    <xf numFmtId="0" fontId="0" fillId="0" borderId="0" xfId="0"/>
    <xf numFmtId="49" fontId="2" fillId="0" borderId="0" xfId="0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4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4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4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6" borderId="0" xfId="2" applyNumberFormat="1" applyFont="1" applyFill="1"/>
    <xf numFmtId="165" fontId="14" fillId="7" borderId="0" xfId="2" applyNumberFormat="1" applyFont="1" applyFill="1"/>
    <xf numFmtId="164" fontId="17" fillId="0" borderId="0" xfId="1" applyNumberFormat="1" applyFont="1" applyFill="1"/>
    <xf numFmtId="165" fontId="10" fillId="7" borderId="0" xfId="2" applyNumberFormat="1" applyFont="1" applyFill="1"/>
    <xf numFmtId="164" fontId="20" fillId="4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0" applyNumberFormat="1" applyFont="1"/>
    <xf numFmtId="44" fontId="8" fillId="0" borderId="0" xfId="2" applyFont="1"/>
    <xf numFmtId="0" fontId="3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3" fillId="0" borderId="0" xfId="1" applyNumberFormat="1" applyFont="1"/>
    <xf numFmtId="44" fontId="8" fillId="11" borderId="0" xfId="0" applyNumberFormat="1" applyFont="1" applyFill="1" applyBorder="1" applyAlignment="1">
      <alignment horizontal="center"/>
    </xf>
    <xf numFmtId="44" fontId="8" fillId="12" borderId="0" xfId="0" applyNumberFormat="1" applyFont="1" applyFill="1" applyBorder="1" applyAlignment="1">
      <alignment horizontal="center"/>
    </xf>
    <xf numFmtId="0" fontId="1" fillId="0" borderId="0" xfId="0" applyFont="1" applyAlignment="1"/>
    <xf numFmtId="49" fontId="3" fillId="0" borderId="0" xfId="1" applyNumberFormat="1" applyFont="1" applyAlignment="1"/>
    <xf numFmtId="165" fontId="1" fillId="0" borderId="0" xfId="2" applyNumberFormat="1" applyFont="1" applyFill="1" applyBorder="1" applyAlignment="1">
      <alignment horizontal="center"/>
    </xf>
    <xf numFmtId="39" fontId="6" fillId="0" borderId="0" xfId="0" applyNumberFormat="1" applyFont="1"/>
    <xf numFmtId="164" fontId="1" fillId="2" borderId="2" xfId="1" applyNumberFormat="1" applyFont="1" applyFill="1" applyBorder="1" applyAlignment="1">
      <alignment horizontal="center"/>
    </xf>
    <xf numFmtId="44" fontId="1" fillId="0" borderId="11" xfId="2" applyNumberFormat="1" applyBorder="1"/>
    <xf numFmtId="44" fontId="1" fillId="9" borderId="0" xfId="2" applyNumberFormat="1" applyFill="1"/>
    <xf numFmtId="44" fontId="1" fillId="0" borderId="12" xfId="2" applyNumberFormat="1" applyBorder="1"/>
    <xf numFmtId="44" fontId="6" fillId="0" borderId="0" xfId="0" applyNumberFormat="1" applyFont="1"/>
    <xf numFmtId="44" fontId="8" fillId="0" borderId="0" xfId="0" applyNumberFormat="1" applyFont="1" applyFill="1"/>
    <xf numFmtId="44" fontId="30" fillId="9" borderId="0" xfId="2" applyNumberFormat="1" applyFont="1" applyFill="1"/>
    <xf numFmtId="44" fontId="30" fillId="0" borderId="0" xfId="2" applyNumberFormat="1" applyFont="1" applyFill="1"/>
    <xf numFmtId="44" fontId="1" fillId="3" borderId="0" xfId="2" applyNumberFormat="1" applyFill="1"/>
    <xf numFmtId="44" fontId="8" fillId="9" borderId="0" xfId="2" applyNumberFormat="1" applyFont="1" applyFill="1"/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1" fillId="0" borderId="0" xfId="1" applyNumberFormat="1" applyFont="1" applyFill="1"/>
    <xf numFmtId="49" fontId="32" fillId="0" borderId="0" xfId="1" applyNumberFormat="1" applyFont="1" applyAlignment="1"/>
    <xf numFmtId="49" fontId="31" fillId="0" borderId="0" xfId="1" applyNumberFormat="1" applyFont="1"/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4" borderId="0" xfId="1" applyNumberFormat="1" applyFont="1" applyFill="1"/>
    <xf numFmtId="43" fontId="38" fillId="0" borderId="0" xfId="1" applyNumberFormat="1" applyFont="1"/>
    <xf numFmtId="43" fontId="31" fillId="0" borderId="0" xfId="1" applyFont="1" applyFill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4" borderId="0" xfId="1" applyNumberFormat="1" applyFont="1" applyFill="1"/>
    <xf numFmtId="169" fontId="22" fillId="0" borderId="0" xfId="1" applyNumberFormat="1" applyFont="1" applyBorder="1" applyAlignment="1"/>
    <xf numFmtId="164" fontId="36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4" borderId="0" xfId="1" applyNumberFormat="1" applyFont="1" applyFill="1"/>
    <xf numFmtId="164" fontId="34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9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6" borderId="0" xfId="2" applyFont="1" applyFill="1"/>
    <xf numFmtId="164" fontId="1" fillId="0" borderId="0" xfId="1" applyNumberFormat="1" applyFont="1" applyFill="1" applyAlignment="1">
      <alignment horizontal="left"/>
    </xf>
    <xf numFmtId="44" fontId="22" fillId="16" borderId="0" xfId="2" applyFont="1" applyFill="1"/>
    <xf numFmtId="164" fontId="23" fillId="0" borderId="0" xfId="1" applyNumberFormat="1" applyFont="1" applyAlignment="1">
      <alignment horizontal="left"/>
    </xf>
    <xf numFmtId="0" fontId="2" fillId="16" borderId="0" xfId="2" applyNumberFormat="1" applyFont="1" applyFill="1" applyAlignment="1">
      <alignment horizontal="center"/>
    </xf>
    <xf numFmtId="164" fontId="40" fillId="0" borderId="0" xfId="1" applyNumberFormat="1" applyFont="1" applyAlignment="1">
      <alignment horizontal="left"/>
    </xf>
    <xf numFmtId="44" fontId="6" fillId="16" borderId="0" xfId="2" applyFont="1" applyFill="1"/>
    <xf numFmtId="164" fontId="34" fillId="0" borderId="0" xfId="1" applyNumberFormat="1" applyFont="1"/>
    <xf numFmtId="164" fontId="34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7" borderId="0" xfId="2" applyNumberFormat="1" applyFont="1" applyFill="1"/>
    <xf numFmtId="44" fontId="1" fillId="17" borderId="0" xfId="2" applyFont="1" applyFill="1"/>
    <xf numFmtId="164" fontId="22" fillId="0" borderId="0" xfId="1" applyNumberFormat="1" applyFont="1"/>
    <xf numFmtId="44" fontId="22" fillId="17" borderId="0" xfId="2" applyFont="1" applyFill="1"/>
    <xf numFmtId="164" fontId="41" fillId="0" borderId="0" xfId="1" applyNumberFormat="1" applyFont="1" applyAlignment="1">
      <alignment horizontal="left"/>
    </xf>
    <xf numFmtId="44" fontId="6" fillId="17" borderId="0" xfId="2" applyFont="1" applyFill="1"/>
    <xf numFmtId="164" fontId="41" fillId="0" borderId="0" xfId="1" applyNumberFormat="1" applyFont="1" applyAlignment="1">
      <alignment horizontal="left" indent="1"/>
    </xf>
    <xf numFmtId="44" fontId="35" fillId="18" borderId="0" xfId="2" applyFont="1" applyFill="1"/>
    <xf numFmtId="0" fontId="2" fillId="17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 indent="4"/>
    </xf>
    <xf numFmtId="164" fontId="42" fillId="0" borderId="0" xfId="1" applyNumberFormat="1" applyFont="1" applyAlignment="1">
      <alignment horizontal="left"/>
    </xf>
    <xf numFmtId="43" fontId="31" fillId="14" borderId="0" xfId="1" applyFont="1" applyFill="1"/>
    <xf numFmtId="44" fontId="22" fillId="17" borderId="0" xfId="2" applyNumberFormat="1" applyFont="1" applyFill="1"/>
    <xf numFmtId="49" fontId="1" fillId="8" borderId="0" xfId="1" applyNumberFormat="1" applyFont="1" applyFill="1" applyAlignment="1">
      <alignment horizontal="right"/>
    </xf>
    <xf numFmtId="0" fontId="1" fillId="8" borderId="0" xfId="1" applyNumberFormat="1" applyFont="1" applyFill="1" applyAlignment="1">
      <alignment horizontal="center"/>
    </xf>
    <xf numFmtId="0" fontId="2" fillId="19" borderId="0" xfId="1" applyNumberFormat="1" applyFont="1" applyFill="1" applyAlignment="1">
      <alignment horizontal="center"/>
    </xf>
    <xf numFmtId="164" fontId="1" fillId="19" borderId="0" xfId="1" applyNumberFormat="1" applyFont="1" applyFill="1"/>
    <xf numFmtId="44" fontId="22" fillId="19" borderId="0" xfId="2" applyFont="1" applyFill="1"/>
    <xf numFmtId="164" fontId="23" fillId="14" borderId="0" xfId="1" applyNumberFormat="1" applyFont="1" applyFill="1" applyAlignment="1">
      <alignment horizontal="left" vertical="top"/>
    </xf>
    <xf numFmtId="43" fontId="43" fillId="0" borderId="0" xfId="1" applyFont="1"/>
    <xf numFmtId="164" fontId="6" fillId="0" borderId="0" xfId="1" applyNumberFormat="1" applyFont="1"/>
    <xf numFmtId="164" fontId="43" fillId="0" borderId="0" xfId="1" applyNumberFormat="1" applyFont="1"/>
    <xf numFmtId="164" fontId="1" fillId="0" borderId="2" xfId="1" applyNumberFormat="1" applyFont="1" applyBorder="1"/>
    <xf numFmtId="44" fontId="1" fillId="17" borderId="2" xfId="2" applyFont="1" applyFill="1" applyBorder="1"/>
    <xf numFmtId="164" fontId="18" fillId="0" borderId="2" xfId="1" applyNumberFormat="1" applyFont="1" applyBorder="1"/>
    <xf numFmtId="44" fontId="18" fillId="17" borderId="0" xfId="2" applyFont="1" applyFill="1"/>
    <xf numFmtId="44" fontId="6" fillId="17" borderId="2" xfId="2" applyFont="1" applyFill="1" applyBorder="1"/>
    <xf numFmtId="49" fontId="1" fillId="15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4" fillId="0" borderId="3" xfId="1" applyNumberFormat="1" applyFont="1" applyBorder="1" applyAlignment="1">
      <alignment horizontal="left"/>
    </xf>
    <xf numFmtId="44" fontId="2" fillId="0" borderId="3" xfId="2" applyFont="1" applyBorder="1"/>
    <xf numFmtId="44" fontId="34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40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40" fillId="0" borderId="0" xfId="1" applyNumberFormat="1" applyFont="1" applyAlignment="1"/>
    <xf numFmtId="44" fontId="6" fillId="16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6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22" fillId="16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23" fillId="0" borderId="3" xfId="1" applyNumberFormat="1" applyFont="1" applyBorder="1" applyAlignment="1"/>
    <xf numFmtId="44" fontId="3" fillId="0" borderId="10" xfId="2" applyFont="1" applyBorder="1"/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164" fontId="2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44" fontId="23" fillId="0" borderId="2" xfId="2" applyFont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1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10" borderId="0" xfId="2" applyFont="1" applyFill="1"/>
    <xf numFmtId="44" fontId="3" fillId="13" borderId="0" xfId="2" applyFont="1" applyFill="1"/>
    <xf numFmtId="164" fontId="23" fillId="14" borderId="0" xfId="1" applyNumberFormat="1" applyFont="1" applyFill="1"/>
    <xf numFmtId="44" fontId="3" fillId="17" borderId="0" xfId="2" applyFont="1" applyFill="1"/>
    <xf numFmtId="44" fontId="31" fillId="18" borderId="0" xfId="2" applyFont="1" applyFill="1"/>
    <xf numFmtId="44" fontId="3" fillId="16" borderId="0" xfId="2" applyFont="1" applyFill="1"/>
    <xf numFmtId="44" fontId="31" fillId="16" borderId="0" xfId="2" applyFont="1" applyFill="1"/>
    <xf numFmtId="164" fontId="23" fillId="0" borderId="0" xfId="1" applyNumberFormat="1" applyFont="1" applyFill="1"/>
    <xf numFmtId="44" fontId="34" fillId="0" borderId="3" xfId="2" applyFont="1" applyBorder="1"/>
    <xf numFmtId="44" fontId="34" fillId="0" borderId="0" xfId="2" applyFont="1" applyBorder="1"/>
    <xf numFmtId="43" fontId="2" fillId="9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20" borderId="3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5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170" fontId="31" fillId="0" borderId="0" xfId="1" applyNumberFormat="1" applyFont="1"/>
    <xf numFmtId="0" fontId="1" fillId="0" borderId="0" xfId="4"/>
    <xf numFmtId="0" fontId="1" fillId="0" borderId="0" xfId="4" applyFill="1"/>
    <xf numFmtId="164" fontId="31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/>
    <xf numFmtId="0" fontId="1" fillId="0" borderId="0" xfId="4" applyFont="1" applyFill="1" applyBorder="1"/>
    <xf numFmtId="0" fontId="22" fillId="0" borderId="0" xfId="4" applyFont="1" applyFill="1" applyAlignment="1">
      <alignment horizontal="center"/>
    </xf>
    <xf numFmtId="0" fontId="22" fillId="0" borderId="9" xfId="4" applyFont="1" applyFill="1" applyBorder="1" applyAlignment="1">
      <alignment horizontal="center"/>
    </xf>
    <xf numFmtId="0" fontId="3" fillId="0" borderId="0" xfId="4" applyFont="1" applyFill="1" applyAlignment="1">
      <alignment horizontal="right"/>
    </xf>
    <xf numFmtId="44" fontId="3" fillId="0" borderId="0" xfId="4" applyNumberFormat="1" applyFont="1" applyFill="1" applyAlignment="1">
      <alignment horizontal="right"/>
    </xf>
    <xf numFmtId="164" fontId="1" fillId="0" borderId="0" xfId="5" applyNumberFormat="1" applyFont="1" applyFill="1"/>
    <xf numFmtId="44" fontId="3" fillId="0" borderId="0" xfId="4" applyNumberFormat="1" applyFont="1" applyFill="1"/>
    <xf numFmtId="44" fontId="3" fillId="0" borderId="4" xfId="4" applyNumberFormat="1" applyFont="1" applyFill="1" applyBorder="1"/>
    <xf numFmtId="0" fontId="3" fillId="0" borderId="0" xfId="4" applyFont="1" applyFill="1"/>
    <xf numFmtId="49" fontId="33" fillId="0" borderId="4" xfId="4" applyNumberFormat="1" applyFont="1" applyFill="1" applyBorder="1" applyAlignment="1">
      <alignment horizontal="center"/>
    </xf>
    <xf numFmtId="49" fontId="33" fillId="0" borderId="0" xfId="4" applyNumberFormat="1" applyFont="1" applyFill="1" applyAlignment="1">
      <alignment horizontal="center"/>
    </xf>
    <xf numFmtId="44" fontId="22" fillId="0" borderId="4" xfId="4" applyNumberFormat="1" applyFont="1" applyFill="1" applyBorder="1" applyAlignment="1">
      <alignment horizontal="center"/>
    </xf>
    <xf numFmtId="44" fontId="3" fillId="0" borderId="7" xfId="4" applyNumberFormat="1" applyFont="1" applyFill="1" applyBorder="1" applyAlignment="1">
      <alignment horizontal="left"/>
    </xf>
    <xf numFmtId="44" fontId="3" fillId="0" borderId="0" xfId="4" applyNumberFormat="1" applyFont="1" applyFill="1" applyAlignment="1">
      <alignment horizontal="center"/>
    </xf>
    <xf numFmtId="0" fontId="3" fillId="0" borderId="4" xfId="4" applyFont="1" applyFill="1" applyBorder="1"/>
    <xf numFmtId="0" fontId="3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/>
    <xf numFmtId="0" fontId="8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3" fillId="0" borderId="0" xfId="6" applyFont="1" applyFill="1"/>
    <xf numFmtId="44" fontId="3" fillId="0" borderId="4" xfId="6" applyFont="1" applyFill="1" applyBorder="1"/>
    <xf numFmtId="0" fontId="3" fillId="0" borderId="2" xfId="4" applyFont="1" applyFill="1" applyBorder="1"/>
    <xf numFmtId="0" fontId="3" fillId="0" borderId="2" xfId="4" applyFont="1" applyFill="1" applyBorder="1" applyAlignment="1"/>
    <xf numFmtId="44" fontId="3" fillId="0" borderId="0" xfId="6" applyFont="1" applyFill="1" applyBorder="1"/>
    <xf numFmtId="0" fontId="3" fillId="0" borderId="0" xfId="6" applyNumberFormat="1" applyFont="1" applyFill="1" applyBorder="1" applyAlignment="1">
      <alignment horizontal="left"/>
    </xf>
    <xf numFmtId="44" fontId="3" fillId="0" borderId="7" xfId="6" applyFont="1" applyFill="1" applyBorder="1"/>
    <xf numFmtId="0" fontId="3" fillId="0" borderId="0" xfId="4" applyFont="1" applyFill="1" applyAlignment="1"/>
    <xf numFmtId="44" fontId="3" fillId="0" borderId="6" xfId="6" applyFont="1" applyFill="1" applyBorder="1"/>
    <xf numFmtId="44" fontId="3" fillId="0" borderId="2" xfId="4" applyNumberFormat="1" applyFont="1" applyFill="1" applyBorder="1"/>
    <xf numFmtId="44" fontId="3" fillId="0" borderId="5" xfId="6" applyFont="1" applyFill="1" applyBorder="1"/>
    <xf numFmtId="44" fontId="3" fillId="0" borderId="2" xfId="6" applyFont="1" applyFill="1" applyBorder="1"/>
    <xf numFmtId="44" fontId="3" fillId="0" borderId="0" xfId="4" applyNumberFormat="1" applyFont="1" applyFill="1" applyBorder="1" applyAlignment="1">
      <alignment horizontal="center"/>
    </xf>
    <xf numFmtId="44" fontId="3" fillId="0" borderId="4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2" fillId="0" borderId="2" xfId="4" applyFont="1" applyFill="1" applyBorder="1"/>
    <xf numFmtId="0" fontId="33" fillId="0" borderId="0" xfId="4" applyFont="1" applyFill="1" applyBorder="1" applyAlignment="1">
      <alignment horizontal="center"/>
    </xf>
    <xf numFmtId="0" fontId="33" fillId="0" borderId="4" xfId="4" applyFont="1" applyFill="1" applyBorder="1" applyAlignment="1">
      <alignment horizontal="center"/>
    </xf>
    <xf numFmtId="0" fontId="8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169" fontId="32" fillId="0" borderId="0" xfId="4" applyNumberFormat="1" applyFont="1" applyFill="1" applyBorder="1" applyAlignment="1"/>
    <xf numFmtId="169" fontId="32" fillId="0" borderId="0" xfId="4" applyNumberFormat="1" applyFont="1" applyFill="1" applyBorder="1" applyAlignment="1">
      <alignment horizontal="left"/>
    </xf>
    <xf numFmtId="0" fontId="32" fillId="0" borderId="0" xfId="4" applyFont="1" applyFill="1" applyAlignment="1"/>
    <xf numFmtId="0" fontId="8" fillId="0" borderId="0" xfId="4" applyFont="1" applyFill="1" applyAlignment="1">
      <alignment horizontal="center" vertical="center"/>
    </xf>
    <xf numFmtId="0" fontId="32" fillId="0" borderId="0" xfId="4" applyFont="1" applyFill="1" applyAlignment="1">
      <alignment horizontal="right"/>
    </xf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6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9" fontId="37" fillId="0" borderId="0" xfId="1" applyNumberFormat="1" applyFont="1" applyBorder="1" applyAlignment="1">
      <alignment horizontal="left"/>
    </xf>
    <xf numFmtId="164" fontId="32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4" fontId="7" fillId="0" borderId="0" xfId="1" applyNumberFormat="1" applyFont="1" applyAlignment="1">
      <alignment horizontal="left"/>
    </xf>
    <xf numFmtId="0" fontId="1" fillId="0" borderId="2" xfId="4" applyFill="1" applyBorder="1" applyAlignment="1">
      <alignment horizontal="center"/>
    </xf>
  </cellXfs>
  <cellStyles count="7">
    <cellStyle name="Comma" xfId="1" builtinId="3"/>
    <cellStyle name="Comma 3" xfId="5"/>
    <cellStyle name="Currency" xfId="2" builtinId="4"/>
    <cellStyle name="Currency 3" xfId="6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9-2018\WA\UG-171010%20CNGC%20Monthly%20PGA%20Rpt%20September%202018,%2010.26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9-2018\Core%20GC%20Allocations%20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4.6899999999999997E-2</v>
          </cell>
          <cell r="C79">
            <v>31</v>
          </cell>
        </row>
        <row r="80">
          <cell r="A80">
            <v>43434</v>
          </cell>
          <cell r="B80">
            <v>4.6899999999999997E-2</v>
          </cell>
          <cell r="C80">
            <v>30</v>
          </cell>
        </row>
        <row r="81">
          <cell r="A81">
            <v>43465</v>
          </cell>
          <cell r="B81">
            <v>4.6899999999999997E-2</v>
          </cell>
          <cell r="C81">
            <v>31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2">
          <cell r="K42">
            <v>1863237.9600000002</v>
          </cell>
        </row>
        <row r="43">
          <cell r="K43">
            <v>3716064.01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1:AG71"/>
  <sheetViews>
    <sheetView showGridLines="0" topLeftCell="A7" zoomScaleNormal="100" zoomScaleSheetLayoutView="100" workbookViewId="0">
      <pane xSplit="6" topLeftCell="G1" activePane="topRight" state="frozen"/>
      <selection activeCell="B6" sqref="B6"/>
      <selection pane="topRight" activeCell="Q13" sqref="Q13"/>
    </sheetView>
  </sheetViews>
  <sheetFormatPr defaultRowHeight="14.1" customHeight="1" x14ac:dyDescent="0.25"/>
  <cols>
    <col min="1" max="1" width="1.7109375" style="75" customWidth="1"/>
    <col min="2" max="2" width="3.42578125" style="102" customWidth="1"/>
    <col min="3" max="3" width="5.5703125" style="102" customWidth="1"/>
    <col min="4" max="4" width="6.42578125" style="102" customWidth="1"/>
    <col min="5" max="5" width="7.5703125" style="114" customWidth="1"/>
    <col min="6" max="6" width="29.5703125" style="75" customWidth="1"/>
    <col min="7" max="7" width="11.140625" style="75" bestFit="1" customWidth="1"/>
    <col min="8" max="8" width="14.5703125" style="105" bestFit="1" customWidth="1"/>
    <col min="9" max="9" width="2.7109375" style="75" customWidth="1"/>
    <col min="10" max="10" width="12.7109375" style="75" bestFit="1" customWidth="1"/>
    <col min="11" max="11" width="16.85546875" style="105" bestFit="1" customWidth="1"/>
    <col min="12" max="12" width="2.7109375" style="75" customWidth="1"/>
    <col min="13" max="13" width="13.42578125" style="75" bestFit="1" customWidth="1"/>
    <col min="14" max="14" width="16.28515625" style="105" customWidth="1"/>
    <col min="15" max="15" width="3" style="75" customWidth="1"/>
    <col min="16" max="16" width="12.85546875" style="75" bestFit="1" customWidth="1"/>
    <col min="17" max="17" width="17.42578125" style="75" customWidth="1"/>
    <col min="18" max="18" width="3.7109375" style="75" customWidth="1"/>
    <col min="19" max="19" width="12.85546875" style="75" bestFit="1" customWidth="1"/>
    <col min="20" max="20" width="16.85546875" style="75" customWidth="1"/>
    <col min="21" max="21" width="3.5703125" style="75" customWidth="1"/>
    <col min="22" max="22" width="9.5703125" style="75" bestFit="1" customWidth="1"/>
    <col min="23" max="23" width="16" style="75" bestFit="1" customWidth="1"/>
    <col min="24" max="24" width="1.7109375" style="75" hidden="1" customWidth="1"/>
    <col min="25" max="25" width="10" style="75" bestFit="1" customWidth="1"/>
    <col min="26" max="26" width="14.7109375" style="75" bestFit="1" customWidth="1"/>
    <col min="27" max="27" width="1.7109375" style="75" hidden="1" customWidth="1"/>
    <col min="28" max="29" width="15.7109375" style="75" hidden="1" customWidth="1"/>
    <col min="30" max="30" width="2.140625" style="75" customWidth="1"/>
    <col min="31" max="31" width="11.42578125" style="75" bestFit="1" customWidth="1"/>
    <col min="32" max="32" width="10.7109375" style="75" bestFit="1" customWidth="1"/>
    <col min="33" max="33" width="13.7109375" style="75" bestFit="1" customWidth="1"/>
    <col min="34" max="16384" width="9.140625" style="75"/>
  </cols>
  <sheetData>
    <row r="1" spans="2:33" ht="17.25" customHeight="1" x14ac:dyDescent="0.25">
      <c r="B1" s="101" t="s">
        <v>134</v>
      </c>
      <c r="D1" s="103"/>
      <c r="E1" s="103"/>
      <c r="F1" s="103"/>
      <c r="G1" s="104"/>
      <c r="I1" s="106"/>
      <c r="K1" s="107"/>
      <c r="O1" s="106"/>
      <c r="P1" s="100"/>
      <c r="Q1" s="108"/>
      <c r="R1" s="100"/>
      <c r="S1" s="100"/>
      <c r="T1" s="100"/>
      <c r="U1" s="106"/>
      <c r="W1" s="311">
        <f>B2-31</f>
        <v>43337</v>
      </c>
      <c r="X1" s="311"/>
      <c r="Y1" s="311"/>
    </row>
    <row r="2" spans="2:33" ht="15" customHeight="1" x14ac:dyDescent="0.25">
      <c r="B2" s="314">
        <v>43368</v>
      </c>
      <c r="C2" s="314"/>
      <c r="D2" s="314"/>
      <c r="E2" s="314"/>
      <c r="G2" s="315" t="s">
        <v>85</v>
      </c>
      <c r="H2" s="315"/>
      <c r="I2" s="106"/>
      <c r="J2" s="316" t="s">
        <v>135</v>
      </c>
      <c r="K2" s="316"/>
      <c r="L2" s="316"/>
      <c r="M2" s="316"/>
      <c r="N2" s="316"/>
      <c r="O2" s="106"/>
      <c r="P2" s="317" t="s">
        <v>136</v>
      </c>
      <c r="Q2" s="317"/>
      <c r="R2" s="317"/>
      <c r="S2" s="317"/>
      <c r="T2" s="317"/>
      <c r="U2" s="106"/>
      <c r="W2" s="317" t="s">
        <v>137</v>
      </c>
      <c r="X2" s="317"/>
      <c r="Y2" s="317"/>
    </row>
    <row r="3" spans="2:33" ht="15" x14ac:dyDescent="0.25">
      <c r="E3" s="109"/>
      <c r="H3" s="110"/>
      <c r="I3" s="106"/>
      <c r="K3" s="107"/>
      <c r="O3" s="106"/>
      <c r="U3" s="111"/>
      <c r="W3" s="311">
        <f>B2</f>
        <v>43368</v>
      </c>
      <c r="X3" s="311"/>
      <c r="Y3" s="311"/>
      <c r="Z3" s="112"/>
      <c r="AB3" s="312" t="s">
        <v>138</v>
      </c>
      <c r="AC3" s="312"/>
      <c r="AD3" s="113"/>
    </row>
    <row r="4" spans="2:33" ht="16.5" customHeight="1" x14ac:dyDescent="0.25">
      <c r="F4" s="115" t="s">
        <v>139</v>
      </c>
      <c r="I4" s="106"/>
      <c r="J4" s="313" t="s">
        <v>140</v>
      </c>
      <c r="K4" s="313"/>
      <c r="L4" s="116"/>
      <c r="M4" s="313" t="s">
        <v>141</v>
      </c>
      <c r="N4" s="313"/>
      <c r="O4" s="117"/>
      <c r="P4" s="313" t="s">
        <v>140</v>
      </c>
      <c r="Q4" s="313"/>
      <c r="R4" s="116"/>
      <c r="S4" s="313" t="s">
        <v>141</v>
      </c>
      <c r="T4" s="313"/>
      <c r="U4" s="117"/>
      <c r="V4" s="313" t="s">
        <v>140</v>
      </c>
      <c r="W4" s="313"/>
      <c r="X4" s="116"/>
      <c r="Y4" s="313" t="s">
        <v>141</v>
      </c>
      <c r="Z4" s="313"/>
      <c r="AB4" s="118" t="s">
        <v>91</v>
      </c>
      <c r="AC4" s="118" t="s">
        <v>95</v>
      </c>
      <c r="AD4" s="118"/>
    </row>
    <row r="5" spans="2:33" s="57" customFormat="1" ht="15.75" customHeight="1" x14ac:dyDescent="0.2">
      <c r="B5" s="310" t="s">
        <v>142</v>
      </c>
      <c r="C5" s="310"/>
      <c r="D5" s="310"/>
      <c r="E5" s="310"/>
      <c r="F5" s="119"/>
      <c r="G5" s="120" t="s">
        <v>108</v>
      </c>
      <c r="H5" s="121" t="s">
        <v>143</v>
      </c>
      <c r="I5" s="106"/>
      <c r="J5" s="122" t="s">
        <v>108</v>
      </c>
      <c r="K5" s="123" t="s">
        <v>143</v>
      </c>
      <c r="L5" s="124"/>
      <c r="M5" s="122" t="s">
        <v>108</v>
      </c>
      <c r="N5" s="123" t="s">
        <v>143</v>
      </c>
      <c r="O5" s="106"/>
      <c r="P5" s="120" t="s">
        <v>108</v>
      </c>
      <c r="Q5" s="121" t="s">
        <v>143</v>
      </c>
      <c r="R5" s="124"/>
      <c r="S5" s="122" t="s">
        <v>108</v>
      </c>
      <c r="T5" s="123" t="s">
        <v>143</v>
      </c>
      <c r="U5" s="106"/>
      <c r="V5" s="122" t="s">
        <v>144</v>
      </c>
      <c r="W5" s="125" t="s">
        <v>143</v>
      </c>
      <c r="X5" s="124"/>
      <c r="Y5" s="126" t="s">
        <v>144</v>
      </c>
      <c r="Z5" s="125" t="s">
        <v>143</v>
      </c>
      <c r="AB5" s="127" t="s">
        <v>143</v>
      </c>
      <c r="AC5" s="127" t="s">
        <v>143</v>
      </c>
      <c r="AD5" s="127"/>
    </row>
    <row r="6" spans="2:33" ht="14.25" customHeight="1" x14ac:dyDescent="0.25">
      <c r="B6" s="128" t="s">
        <v>145</v>
      </c>
      <c r="C6" s="129">
        <v>6011</v>
      </c>
      <c r="D6" s="129">
        <v>28040</v>
      </c>
      <c r="E6" s="130">
        <v>671010</v>
      </c>
      <c r="F6" s="57" t="s">
        <v>146</v>
      </c>
      <c r="G6" s="131" t="s">
        <v>147</v>
      </c>
      <c r="H6" s="132">
        <f>K6+N6</f>
        <v>0</v>
      </c>
      <c r="I6" s="106"/>
      <c r="J6" s="133"/>
      <c r="K6" s="134">
        <f>+Q6+W6</f>
        <v>0</v>
      </c>
      <c r="L6" s="135" t="s">
        <v>148</v>
      </c>
      <c r="M6" s="133"/>
      <c r="N6" s="134">
        <f>+T6+Z6</f>
        <v>0</v>
      </c>
      <c r="O6" s="106" t="s">
        <v>148</v>
      </c>
      <c r="P6" s="133"/>
      <c r="Q6" s="136"/>
      <c r="R6" s="57"/>
      <c r="S6" s="133"/>
      <c r="T6" s="136"/>
      <c r="U6" s="106"/>
      <c r="V6" s="137"/>
      <c r="W6" s="136"/>
      <c r="Y6" s="104"/>
      <c r="Z6" s="136"/>
      <c r="AE6" s="138">
        <v>671010</v>
      </c>
    </row>
    <row r="7" spans="2:33" ht="14.25" customHeight="1" x14ac:dyDescent="0.25">
      <c r="B7" s="128" t="s">
        <v>145</v>
      </c>
      <c r="C7" s="129">
        <v>6011</v>
      </c>
      <c r="D7" s="129">
        <v>28040</v>
      </c>
      <c r="E7" s="130">
        <v>671030</v>
      </c>
      <c r="F7" s="57" t="s">
        <v>149</v>
      </c>
      <c r="G7" s="131" t="s">
        <v>147</v>
      </c>
      <c r="H7" s="132">
        <f t="shared" ref="H7:H13" si="0">+K7+N7</f>
        <v>331980.55000000005</v>
      </c>
      <c r="I7" s="106"/>
      <c r="J7" s="133"/>
      <c r="K7" s="134">
        <f>+Q7+W7</f>
        <v>197107.36000000002</v>
      </c>
      <c r="L7" s="135" t="s">
        <v>148</v>
      </c>
      <c r="M7" s="133"/>
      <c r="N7" s="134">
        <f>+T7+Z7</f>
        <v>134873.19</v>
      </c>
      <c r="O7" s="106" t="s">
        <v>148</v>
      </c>
      <c r="P7" s="133"/>
      <c r="Q7" s="136">
        <v>196425.44</v>
      </c>
      <c r="R7" s="57"/>
      <c r="S7" s="133"/>
      <c r="T7" s="136">
        <v>134777.91</v>
      </c>
      <c r="U7" s="106"/>
      <c r="V7" s="139"/>
      <c r="W7" s="140">
        <v>681.92</v>
      </c>
      <c r="X7" s="141"/>
      <c r="Y7" s="142"/>
      <c r="Z7" s="140">
        <v>95.28</v>
      </c>
      <c r="AE7" s="138">
        <v>671030</v>
      </c>
    </row>
    <row r="8" spans="2:33" ht="14.25" customHeight="1" x14ac:dyDescent="0.25">
      <c r="B8" s="128" t="s">
        <v>145</v>
      </c>
      <c r="C8" s="129">
        <v>6011</v>
      </c>
      <c r="D8" s="129">
        <v>28040</v>
      </c>
      <c r="E8" s="130">
        <v>671050</v>
      </c>
      <c r="F8" s="57" t="s">
        <v>150</v>
      </c>
      <c r="G8" s="143">
        <f t="shared" ref="G8:G14" si="1">+J8+M8</f>
        <v>14483820</v>
      </c>
      <c r="H8" s="132">
        <f t="shared" si="0"/>
        <v>3158230</v>
      </c>
      <c r="I8" s="106"/>
      <c r="J8" s="144">
        <f>+P8+V8</f>
        <v>10995686</v>
      </c>
      <c r="K8" s="145">
        <f>+Q8+W8</f>
        <v>2559340.09</v>
      </c>
      <c r="L8" s="135" t="s">
        <v>151</v>
      </c>
      <c r="M8" s="57">
        <f>+S8+Y8</f>
        <v>3488134</v>
      </c>
      <c r="N8" s="146">
        <f>+T8+Z8</f>
        <v>598889.91</v>
      </c>
      <c r="O8" s="106" t="s">
        <v>151</v>
      </c>
      <c r="P8" s="147">
        <v>10995685</v>
      </c>
      <c r="Q8" s="148">
        <v>2559339.86</v>
      </c>
      <c r="R8" s="57"/>
      <c r="S8" s="147">
        <v>3488135</v>
      </c>
      <c r="T8" s="148">
        <v>598890.14</v>
      </c>
      <c r="U8" s="106"/>
      <c r="V8" s="149">
        <v>1</v>
      </c>
      <c r="W8" s="150">
        <v>0.23</v>
      </c>
      <c r="X8" s="141"/>
      <c r="Y8" s="151">
        <v>-1</v>
      </c>
      <c r="Z8" s="150">
        <v>-0.23</v>
      </c>
      <c r="AB8" s="152">
        <v>0</v>
      </c>
      <c r="AC8" s="152">
        <v>0</v>
      </c>
      <c r="AE8" s="153">
        <v>671050</v>
      </c>
    </row>
    <row r="9" spans="2:33" ht="14.25" customHeight="1" x14ac:dyDescent="0.25">
      <c r="B9" s="128" t="s">
        <v>145</v>
      </c>
      <c r="C9" s="129">
        <v>6011</v>
      </c>
      <c r="D9" s="129">
        <v>28040</v>
      </c>
      <c r="E9" s="130">
        <v>671051</v>
      </c>
      <c r="F9" s="57" t="s">
        <v>152</v>
      </c>
      <c r="G9" s="131" t="s">
        <v>147</v>
      </c>
      <c r="H9" s="132">
        <f t="shared" si="0"/>
        <v>0</v>
      </c>
      <c r="I9" s="106"/>
      <c r="J9" s="154"/>
      <c r="K9" s="146">
        <f t="shared" ref="J9:K14" si="2">+Q9+W9</f>
        <v>0</v>
      </c>
      <c r="L9" s="135" t="s">
        <v>151</v>
      </c>
      <c r="M9" s="155"/>
      <c r="N9" s="146">
        <f>+T9+Z9</f>
        <v>0</v>
      </c>
      <c r="O9" s="106" t="s">
        <v>151</v>
      </c>
      <c r="P9" s="133"/>
      <c r="Q9" s="148"/>
      <c r="R9" s="57"/>
      <c r="S9" s="133"/>
      <c r="T9" s="148"/>
      <c r="U9" s="106"/>
      <c r="V9" s="156"/>
      <c r="W9" s="150"/>
      <c r="X9" s="142"/>
      <c r="Y9" s="157"/>
      <c r="Z9" s="150"/>
      <c r="AE9" s="153">
        <v>671051</v>
      </c>
    </row>
    <row r="10" spans="2:33" ht="14.25" customHeight="1" x14ac:dyDescent="0.25">
      <c r="B10" s="128" t="s">
        <v>145</v>
      </c>
      <c r="C10" s="129">
        <v>6011</v>
      </c>
      <c r="D10" s="129">
        <v>28040</v>
      </c>
      <c r="E10" s="130">
        <v>671070</v>
      </c>
      <c r="F10" s="57" t="s">
        <v>153</v>
      </c>
      <c r="G10" s="143">
        <f t="shared" si="1"/>
        <v>-1898600</v>
      </c>
      <c r="H10" s="132">
        <f>+K10+N10</f>
        <v>-740519.44</v>
      </c>
      <c r="I10" s="106"/>
      <c r="J10" s="144">
        <f t="shared" si="2"/>
        <v>-1388853</v>
      </c>
      <c r="K10" s="146">
        <f t="shared" si="2"/>
        <v>-544429.26</v>
      </c>
      <c r="L10" s="135" t="s">
        <v>151</v>
      </c>
      <c r="M10" s="57">
        <f>+S10+Y10</f>
        <v>-509747</v>
      </c>
      <c r="N10" s="146">
        <f>+T10+Z10</f>
        <v>-196090.18</v>
      </c>
      <c r="O10" s="158" t="s">
        <v>151</v>
      </c>
      <c r="P10" s="147">
        <f>+-2841339+1452486</f>
        <v>-1388853</v>
      </c>
      <c r="Q10" s="159">
        <v>-544429.26</v>
      </c>
      <c r="R10" s="57"/>
      <c r="S10" s="147">
        <f>+-970731+460984</f>
        <v>-509747</v>
      </c>
      <c r="T10" s="148">
        <f>+-211670.11+99824.28-2498.77-81745.58</f>
        <v>-196090.18</v>
      </c>
      <c r="U10" s="106"/>
      <c r="V10" s="156"/>
      <c r="W10" s="150"/>
      <c r="X10" s="142">
        <v>0</v>
      </c>
      <c r="Y10" s="157"/>
      <c r="Z10" s="150"/>
      <c r="AE10" s="153">
        <v>671070</v>
      </c>
    </row>
    <row r="11" spans="2:33" ht="14.25" customHeight="1" x14ac:dyDescent="0.25">
      <c r="B11" s="160" t="s">
        <v>145</v>
      </c>
      <c r="C11" s="161">
        <v>6011</v>
      </c>
      <c r="D11" s="161">
        <v>28081</v>
      </c>
      <c r="E11" s="162">
        <v>671050</v>
      </c>
      <c r="F11" s="163" t="s">
        <v>154</v>
      </c>
      <c r="G11" s="143">
        <f t="shared" si="1"/>
        <v>0</v>
      </c>
      <c r="H11" s="132">
        <f t="shared" si="0"/>
        <v>0</v>
      </c>
      <c r="I11" s="106"/>
      <c r="J11" s="144">
        <f t="shared" si="2"/>
        <v>0</v>
      </c>
      <c r="K11" s="146">
        <f t="shared" si="2"/>
        <v>0</v>
      </c>
      <c r="L11" s="135" t="s">
        <v>151</v>
      </c>
      <c r="M11" s="57">
        <f t="shared" ref="M11:N14" si="3">+S11+Y11</f>
        <v>0</v>
      </c>
      <c r="N11" s="146">
        <f t="shared" si="3"/>
        <v>0</v>
      </c>
      <c r="O11" s="106" t="s">
        <v>151</v>
      </c>
      <c r="P11" s="147">
        <v>0</v>
      </c>
      <c r="Q11" s="164">
        <v>0</v>
      </c>
      <c r="R11" s="143">
        <v>-1</v>
      </c>
      <c r="S11" s="147">
        <v>0</v>
      </c>
      <c r="T11" s="164">
        <v>0</v>
      </c>
      <c r="U11" s="165">
        <v>-4</v>
      </c>
      <c r="V11" s="156"/>
      <c r="W11" s="150"/>
      <c r="X11" s="142"/>
      <c r="Y11" s="157"/>
      <c r="Z11" s="150"/>
      <c r="AE11" s="162">
        <v>671050</v>
      </c>
      <c r="AF11" s="141"/>
    </row>
    <row r="12" spans="2:33" ht="14.25" customHeight="1" x14ac:dyDescent="0.25">
      <c r="B12" s="160" t="s">
        <v>145</v>
      </c>
      <c r="C12" s="161">
        <v>6011</v>
      </c>
      <c r="D12" s="161">
        <v>28082</v>
      </c>
      <c r="E12" s="162">
        <v>671050</v>
      </c>
      <c r="F12" s="163" t="s">
        <v>155</v>
      </c>
      <c r="G12" s="143">
        <f t="shared" si="1"/>
        <v>-906910</v>
      </c>
      <c r="H12" s="132">
        <f t="shared" si="0"/>
        <v>-245327.39</v>
      </c>
      <c r="I12" s="106"/>
      <c r="J12" s="144">
        <f t="shared" si="2"/>
        <v>-906910</v>
      </c>
      <c r="K12" s="146">
        <f t="shared" si="2"/>
        <v>-245327.39</v>
      </c>
      <c r="L12" s="135" t="s">
        <v>151</v>
      </c>
      <c r="M12" s="47">
        <f t="shared" si="3"/>
        <v>0</v>
      </c>
      <c r="N12" s="146">
        <f t="shared" si="3"/>
        <v>0</v>
      </c>
      <c r="O12" s="106" t="s">
        <v>151</v>
      </c>
      <c r="P12" s="147">
        <v>-906910</v>
      </c>
      <c r="Q12" s="164">
        <f>+-200405.31-42008.63-2913.45</f>
        <v>-245327.39</v>
      </c>
      <c r="R12" s="143">
        <v>-2</v>
      </c>
      <c r="S12" s="166"/>
      <c r="T12" s="164"/>
      <c r="U12" s="165"/>
      <c r="V12" s="149"/>
      <c r="W12" s="150"/>
      <c r="X12" s="142"/>
      <c r="Y12" s="157"/>
      <c r="Z12" s="150"/>
      <c r="AE12" s="162">
        <v>671050</v>
      </c>
      <c r="AF12" s="141"/>
      <c r="AG12" s="167"/>
    </row>
    <row r="13" spans="2:33" ht="14.25" customHeight="1" x14ac:dyDescent="0.25">
      <c r="B13" s="160" t="s">
        <v>145</v>
      </c>
      <c r="C13" s="161">
        <v>6011</v>
      </c>
      <c r="D13" s="161">
        <v>28120</v>
      </c>
      <c r="E13" s="162">
        <v>671070</v>
      </c>
      <c r="F13" s="163" t="s">
        <v>156</v>
      </c>
      <c r="G13" s="143">
        <f t="shared" si="1"/>
        <v>-6080</v>
      </c>
      <c r="H13" s="132">
        <f t="shared" si="0"/>
        <v>-1653.02</v>
      </c>
      <c r="I13" s="106"/>
      <c r="J13" s="144">
        <f t="shared" si="2"/>
        <v>-5744</v>
      </c>
      <c r="K13" s="146">
        <f>+Q13+W13</f>
        <v>-1570.17</v>
      </c>
      <c r="L13" s="135" t="s">
        <v>151</v>
      </c>
      <c r="M13" s="57">
        <f t="shared" si="3"/>
        <v>-336</v>
      </c>
      <c r="N13" s="146">
        <f t="shared" si="3"/>
        <v>-82.85</v>
      </c>
      <c r="O13" s="106" t="s">
        <v>151</v>
      </c>
      <c r="P13" s="147">
        <v>-5744</v>
      </c>
      <c r="Q13" s="164">
        <v>-1570.17</v>
      </c>
      <c r="R13" s="143">
        <v>-3</v>
      </c>
      <c r="S13" s="168">
        <v>-336</v>
      </c>
      <c r="T13" s="164">
        <v>-82.85</v>
      </c>
      <c r="U13" s="165">
        <v>-5</v>
      </c>
      <c r="V13" s="156"/>
      <c r="W13" s="150"/>
      <c r="X13" s="142"/>
      <c r="Y13" s="157">
        <v>0</v>
      </c>
      <c r="Z13" s="150"/>
      <c r="AE13" s="162">
        <v>671070</v>
      </c>
    </row>
    <row r="14" spans="2:33" ht="14.25" customHeight="1" x14ac:dyDescent="0.25">
      <c r="B14" s="128" t="s">
        <v>145</v>
      </c>
      <c r="C14" s="129">
        <v>6011</v>
      </c>
      <c r="D14" s="129">
        <v>28040</v>
      </c>
      <c r="E14" s="130">
        <v>671100</v>
      </c>
      <c r="F14" s="57" t="s">
        <v>157</v>
      </c>
      <c r="G14" s="143">
        <f t="shared" si="1"/>
        <v>0</v>
      </c>
      <c r="H14" s="132">
        <f>+K14+N14</f>
        <v>0</v>
      </c>
      <c r="I14" s="106"/>
      <c r="J14" s="144">
        <f>+P14+V14</f>
        <v>0</v>
      </c>
      <c r="K14" s="146">
        <f t="shared" si="2"/>
        <v>0</v>
      </c>
      <c r="L14" s="135" t="s">
        <v>151</v>
      </c>
      <c r="M14" s="169">
        <f t="shared" si="3"/>
        <v>0</v>
      </c>
      <c r="N14" s="170">
        <f t="shared" si="3"/>
        <v>0</v>
      </c>
      <c r="O14" s="106" t="s">
        <v>151</v>
      </c>
      <c r="P14" s="171"/>
      <c r="Q14" s="172"/>
      <c r="R14" s="57"/>
      <c r="S14" s="171"/>
      <c r="T14" s="148"/>
      <c r="U14" s="106"/>
      <c r="V14" s="156"/>
      <c r="W14" s="150"/>
      <c r="X14" s="142"/>
      <c r="Y14" s="157"/>
      <c r="Z14" s="173"/>
      <c r="AE14" s="153">
        <v>671100</v>
      </c>
    </row>
    <row r="15" spans="2:33" ht="14.25" customHeight="1" x14ac:dyDescent="0.25">
      <c r="B15" s="128"/>
      <c r="C15" s="174"/>
      <c r="D15" s="174"/>
      <c r="E15" s="175"/>
      <c r="F15" s="176" t="s">
        <v>158</v>
      </c>
      <c r="G15" s="177">
        <f>SUM(G6:G14)</f>
        <v>11672230</v>
      </c>
      <c r="H15" s="178">
        <f>SUM(H6:H14)</f>
        <v>2502710.6999999997</v>
      </c>
      <c r="I15" s="106"/>
      <c r="J15" s="179">
        <f>SUM(J6:J14)</f>
        <v>8694179</v>
      </c>
      <c r="K15" s="96">
        <f>SUM(K6:K14)</f>
        <v>1965120.6299999994</v>
      </c>
      <c r="L15" s="135"/>
      <c r="M15" s="57">
        <f>SUM(M6:M14)</f>
        <v>2978051</v>
      </c>
      <c r="N15" s="98">
        <f>SUM(N6:N14)</f>
        <v>537590.07000000018</v>
      </c>
      <c r="O15" s="106"/>
      <c r="P15" s="57">
        <f>SUM(P6:P14)</f>
        <v>8694178</v>
      </c>
      <c r="Q15" s="180">
        <f>SUM(Q6:Q14)</f>
        <v>1964438.48</v>
      </c>
      <c r="R15" s="57"/>
      <c r="S15" s="57">
        <f>SUM(S6:S14)</f>
        <v>2978052</v>
      </c>
      <c r="T15" s="180">
        <f>SUM(T6:T14)</f>
        <v>537495.02000000014</v>
      </c>
      <c r="U15" s="106"/>
      <c r="V15" s="181">
        <f>+SUM(V6:V14)</f>
        <v>1</v>
      </c>
      <c r="W15" s="182">
        <f>SUM(W6:W14)</f>
        <v>682.15</v>
      </c>
      <c r="X15" s="142"/>
      <c r="Y15" s="181">
        <f>SUM(Y6:Y14)</f>
        <v>-1</v>
      </c>
      <c r="Z15" s="182">
        <f>SUM(Z6:Z14)</f>
        <v>95.05</v>
      </c>
      <c r="AB15" s="183">
        <f>SUM(AB6:AB14)</f>
        <v>0</v>
      </c>
      <c r="AC15" s="183">
        <f>SUM(AC6:AC14)</f>
        <v>0</v>
      </c>
      <c r="AD15" s="183"/>
      <c r="AE15" s="175"/>
    </row>
    <row r="16" spans="2:33" ht="14.25" customHeight="1" x14ac:dyDescent="0.25">
      <c r="B16" s="128"/>
      <c r="C16" s="174"/>
      <c r="D16" s="174"/>
      <c r="E16" s="175"/>
      <c r="G16" s="177"/>
      <c r="H16" s="184"/>
      <c r="I16" s="106"/>
      <c r="J16" s="177"/>
      <c r="K16" s="184"/>
      <c r="L16" s="185"/>
      <c r="M16" s="177"/>
      <c r="N16" s="186"/>
      <c r="O16" s="106"/>
      <c r="P16" s="179"/>
      <c r="Q16" s="52"/>
      <c r="R16" s="57"/>
      <c r="S16" s="179"/>
      <c r="T16" s="52"/>
      <c r="U16" s="106"/>
      <c r="V16" s="187"/>
      <c r="W16" s="72"/>
      <c r="X16" s="142"/>
      <c r="Y16" s="142"/>
      <c r="Z16" s="72"/>
      <c r="AE16" s="175"/>
    </row>
    <row r="17" spans="2:33" ht="14.25" customHeight="1" x14ac:dyDescent="0.25">
      <c r="B17" s="128" t="s">
        <v>145</v>
      </c>
      <c r="C17" s="129">
        <v>6011</v>
      </c>
      <c r="D17" s="129">
        <v>28040</v>
      </c>
      <c r="E17" s="130">
        <v>672010</v>
      </c>
      <c r="F17" s="57" t="s">
        <v>159</v>
      </c>
      <c r="G17" s="131"/>
      <c r="H17" s="132">
        <f>K17+N17</f>
        <v>3766370.02</v>
      </c>
      <c r="I17" s="106"/>
      <c r="J17" s="188"/>
      <c r="K17" s="134">
        <f>+Q17+W17</f>
        <v>3133040.92</v>
      </c>
      <c r="L17" s="135" t="s">
        <v>148</v>
      </c>
      <c r="M17" s="133"/>
      <c r="N17" s="134">
        <f>+T17+Z17</f>
        <v>633329.10000000009</v>
      </c>
      <c r="O17" s="106" t="s">
        <v>148</v>
      </c>
      <c r="P17" s="133"/>
      <c r="Q17" s="136">
        <f>98523.69+3034517.23</f>
        <v>3133040.92</v>
      </c>
      <c r="R17" s="57"/>
      <c r="S17" s="133"/>
      <c r="T17" s="136">
        <f>234438.76+398890.34</f>
        <v>633329.10000000009</v>
      </c>
      <c r="U17" s="106"/>
      <c r="V17" s="189"/>
      <c r="W17" s="140"/>
      <c r="X17" s="142"/>
      <c r="Y17" s="139"/>
      <c r="Z17" s="190"/>
      <c r="AE17" s="138">
        <v>672010</v>
      </c>
    </row>
    <row r="18" spans="2:33" ht="14.25" customHeight="1" x14ac:dyDescent="0.25">
      <c r="B18" s="128" t="s">
        <v>145</v>
      </c>
      <c r="C18" s="129">
        <v>6011</v>
      </c>
      <c r="D18" s="129">
        <v>28040</v>
      </c>
      <c r="E18" s="130">
        <v>672020</v>
      </c>
      <c r="F18" s="57" t="s">
        <v>160</v>
      </c>
      <c r="G18" s="131"/>
      <c r="H18" s="132">
        <f>K18+N18</f>
        <v>63834.99</v>
      </c>
      <c r="I18" s="106"/>
      <c r="J18" s="188"/>
      <c r="K18" s="146">
        <f>+Q18+W18</f>
        <v>57337.11</v>
      </c>
      <c r="L18" s="135" t="s">
        <v>151</v>
      </c>
      <c r="M18" s="133"/>
      <c r="N18" s="146">
        <f>+T18+Z18</f>
        <v>6497.88</v>
      </c>
      <c r="O18" s="106" t="s">
        <v>151</v>
      </c>
      <c r="P18" s="133"/>
      <c r="Q18" s="148">
        <v>57912.78</v>
      </c>
      <c r="R18" s="57"/>
      <c r="T18" s="148">
        <v>7101.22</v>
      </c>
      <c r="U18" s="106"/>
      <c r="V18" s="189"/>
      <c r="W18" s="150">
        <v>-575.66999999999996</v>
      </c>
      <c r="X18" s="142"/>
      <c r="Y18" s="139"/>
      <c r="Z18" s="150">
        <v>-603.34</v>
      </c>
      <c r="AE18" s="153">
        <v>672020</v>
      </c>
      <c r="AF18" s="191"/>
    </row>
    <row r="19" spans="2:33" ht="14.25" customHeight="1" x14ac:dyDescent="0.25">
      <c r="B19" s="128" t="s">
        <v>145</v>
      </c>
      <c r="C19" s="129">
        <v>6011</v>
      </c>
      <c r="D19" s="129">
        <v>28040</v>
      </c>
      <c r="E19" s="130">
        <v>672030</v>
      </c>
      <c r="F19" s="57" t="s">
        <v>161</v>
      </c>
      <c r="G19" s="131"/>
      <c r="H19" s="132">
        <f>K19+N19</f>
        <v>0</v>
      </c>
      <c r="I19" s="106"/>
      <c r="J19" s="188"/>
      <c r="K19" s="134">
        <f>+Q19+W19</f>
        <v>0</v>
      </c>
      <c r="L19" s="135" t="s">
        <v>148</v>
      </c>
      <c r="M19" s="133"/>
      <c r="N19" s="134">
        <f>+T19+Z19</f>
        <v>0</v>
      </c>
      <c r="O19" s="106" t="s">
        <v>148</v>
      </c>
      <c r="P19" s="133"/>
      <c r="Q19" s="136"/>
      <c r="R19" s="57"/>
      <c r="S19" s="133"/>
      <c r="T19" s="136"/>
      <c r="U19" s="106"/>
      <c r="V19" s="189"/>
      <c r="W19" s="140"/>
      <c r="X19" s="142"/>
      <c r="Y19" s="139"/>
      <c r="Z19" s="140"/>
      <c r="AE19" s="138">
        <v>672030</v>
      </c>
      <c r="AF19" s="191"/>
    </row>
    <row r="20" spans="2:33" ht="14.25" customHeight="1" x14ac:dyDescent="0.25">
      <c r="B20" s="128" t="s">
        <v>145</v>
      </c>
      <c r="C20" s="129">
        <v>6011</v>
      </c>
      <c r="D20" s="129">
        <v>28040</v>
      </c>
      <c r="E20" s="130">
        <v>672040</v>
      </c>
      <c r="F20" s="57" t="s">
        <v>162</v>
      </c>
      <c r="G20" s="131"/>
      <c r="H20" s="132">
        <f>K20+N20</f>
        <v>647561.3600000001</v>
      </c>
      <c r="I20" s="106"/>
      <c r="J20" s="188"/>
      <c r="K20" s="134">
        <f>+Q20+W20</f>
        <v>604871.93000000005</v>
      </c>
      <c r="L20" s="135" t="s">
        <v>148</v>
      </c>
      <c r="M20" s="133"/>
      <c r="N20" s="134">
        <f>+T20+Z20</f>
        <v>42689.43</v>
      </c>
      <c r="O20" s="106" t="s">
        <v>148</v>
      </c>
      <c r="P20" s="133"/>
      <c r="Q20" s="136">
        <v>604871.93000000005</v>
      </c>
      <c r="R20" s="57"/>
      <c r="S20" s="133"/>
      <c r="T20" s="136">
        <v>42689.43</v>
      </c>
      <c r="U20" s="106"/>
      <c r="V20" s="189"/>
      <c r="W20" s="140"/>
      <c r="X20" s="142"/>
      <c r="Y20" s="139"/>
      <c r="Z20" s="140"/>
      <c r="AD20" s="75">
        <v>-64.13</v>
      </c>
      <c r="AE20" s="138">
        <v>672040</v>
      </c>
      <c r="AF20" s="191"/>
      <c r="AG20" s="191"/>
    </row>
    <row r="21" spans="2:33" ht="14.25" customHeight="1" x14ac:dyDescent="0.25">
      <c r="B21" s="128" t="s">
        <v>145</v>
      </c>
      <c r="C21" s="129">
        <v>6011</v>
      </c>
      <c r="D21" s="129">
        <v>28040</v>
      </c>
      <c r="E21" s="130">
        <v>672050</v>
      </c>
      <c r="F21" s="57" t="s">
        <v>163</v>
      </c>
      <c r="G21" s="131"/>
      <c r="H21" s="132">
        <f>K21+N21</f>
        <v>-565729.47</v>
      </c>
      <c r="I21" s="106"/>
      <c r="J21" s="192"/>
      <c r="K21" s="134">
        <f>+Q21+W21</f>
        <v>-496290.79</v>
      </c>
      <c r="L21" s="135" t="s">
        <v>148</v>
      </c>
      <c r="M21" s="133"/>
      <c r="N21" s="193">
        <f>+T21+Z21</f>
        <v>-69438.679999999993</v>
      </c>
      <c r="O21" s="106" t="s">
        <v>148</v>
      </c>
      <c r="P21" s="133"/>
      <c r="Q21" s="136">
        <f>+-77.11-550204.86</f>
        <v>-550281.97</v>
      </c>
      <c r="R21" s="194"/>
      <c r="S21" s="195"/>
      <c r="T21" s="196">
        <f>+-91.9-76892.5</f>
        <v>-76984.399999999994</v>
      </c>
      <c r="U21" s="106"/>
      <c r="V21" s="189"/>
      <c r="W21" s="140">
        <v>53991.18</v>
      </c>
      <c r="X21" s="142"/>
      <c r="Y21" s="139"/>
      <c r="Z21" s="140">
        <v>7545.72</v>
      </c>
      <c r="AE21" s="138">
        <v>672050</v>
      </c>
      <c r="AF21" s="191"/>
      <c r="AG21" s="191"/>
    </row>
    <row r="22" spans="2:33" ht="14.25" customHeight="1" x14ac:dyDescent="0.25">
      <c r="B22" s="128"/>
      <c r="C22" s="174"/>
      <c r="D22" s="174"/>
      <c r="E22" s="175"/>
      <c r="F22" s="179" t="s">
        <v>164</v>
      </c>
      <c r="G22" s="197"/>
      <c r="H22" s="198">
        <f>SUM(H17:H21)</f>
        <v>3912036.9000000004</v>
      </c>
      <c r="I22" s="106"/>
      <c r="J22" s="199"/>
      <c r="K22" s="98">
        <f>SUM(K17:K21)</f>
        <v>3298959.17</v>
      </c>
      <c r="L22" s="135"/>
      <c r="M22" s="200"/>
      <c r="N22" s="98">
        <f>SUM(N17:N21)</f>
        <v>613077.73000000021</v>
      </c>
      <c r="O22" s="106"/>
      <c r="P22" s="179"/>
      <c r="Q22" s="180">
        <f>SUM(Q17:Q21)</f>
        <v>3245543.66</v>
      </c>
      <c r="R22" s="135"/>
      <c r="S22" s="97"/>
      <c r="T22" s="180">
        <f>SUM(T17:T21)</f>
        <v>606135.35000000009</v>
      </c>
      <c r="U22" s="106"/>
      <c r="V22" s="201"/>
      <c r="W22" s="202">
        <f>SUM(W17:W21)</f>
        <v>53415.51</v>
      </c>
      <c r="X22" s="104"/>
      <c r="Y22" s="137"/>
      <c r="Z22" s="180">
        <f>SUM(Z17:Z21)</f>
        <v>6942.38</v>
      </c>
      <c r="AB22" s="183">
        <f>SUM(AB17:AB21)</f>
        <v>0</v>
      </c>
      <c r="AC22" s="183">
        <f>SUM(AC17:AC21)</f>
        <v>0</v>
      </c>
      <c r="AD22" s="183"/>
      <c r="AE22" s="175"/>
    </row>
    <row r="23" spans="2:33" ht="14.25" customHeight="1" x14ac:dyDescent="0.25">
      <c r="B23" s="128"/>
      <c r="C23" s="174"/>
      <c r="D23" s="174"/>
      <c r="E23" s="175"/>
      <c r="F23" s="203"/>
      <c r="G23" s="143"/>
      <c r="H23" s="184"/>
      <c r="I23" s="106"/>
      <c r="J23" s="188"/>
      <c r="K23" s="186"/>
      <c r="L23" s="185"/>
      <c r="M23" s="204"/>
      <c r="N23" s="186"/>
      <c r="O23" s="106"/>
      <c r="P23" s="179"/>
      <c r="Q23" s="52"/>
      <c r="R23" s="57"/>
      <c r="S23" s="57"/>
      <c r="T23" s="52"/>
      <c r="U23" s="106"/>
      <c r="V23" s="205"/>
      <c r="W23" s="96"/>
      <c r="X23" s="104"/>
      <c r="Y23" s="137"/>
      <c r="Z23" s="52"/>
      <c r="AE23" s="175"/>
    </row>
    <row r="24" spans="2:33" ht="14.25" customHeight="1" x14ac:dyDescent="0.25">
      <c r="B24" s="128" t="s">
        <v>145</v>
      </c>
      <c r="C24" s="129">
        <v>6011</v>
      </c>
      <c r="D24" s="129">
        <v>28040</v>
      </c>
      <c r="E24" s="130">
        <v>673020</v>
      </c>
      <c r="F24" s="57" t="s">
        <v>165</v>
      </c>
      <c r="G24" s="131"/>
      <c r="H24" s="132">
        <f>K24+N24</f>
        <v>63862.78</v>
      </c>
      <c r="I24" s="106"/>
      <c r="J24" s="188"/>
      <c r="K24" s="134">
        <f t="shared" ref="K24:K37" si="4">+Q24+W24</f>
        <v>56031.83</v>
      </c>
      <c r="L24" s="135" t="s">
        <v>148</v>
      </c>
      <c r="M24" s="133"/>
      <c r="N24" s="134">
        <f t="shared" ref="N24:N33" si="5">+T24+Z24</f>
        <v>7830.95</v>
      </c>
      <c r="O24" s="106" t="s">
        <v>148</v>
      </c>
      <c r="P24" s="133"/>
      <c r="Q24" s="136">
        <v>56031.83</v>
      </c>
      <c r="R24" s="57"/>
      <c r="S24" s="133"/>
      <c r="T24" s="136">
        <v>7830.95</v>
      </c>
      <c r="U24" s="106"/>
      <c r="V24" s="205"/>
      <c r="W24" s="136"/>
      <c r="X24" s="206"/>
      <c r="Y24" s="206"/>
      <c r="Z24" s="136"/>
      <c r="AE24" s="138">
        <v>673020</v>
      </c>
    </row>
    <row r="25" spans="2:33" ht="14.25" customHeight="1" x14ac:dyDescent="0.25">
      <c r="B25" s="128" t="s">
        <v>145</v>
      </c>
      <c r="C25" s="129">
        <v>6011</v>
      </c>
      <c r="D25" s="129">
        <v>28040</v>
      </c>
      <c r="E25" s="130">
        <v>673030</v>
      </c>
      <c r="F25" s="57" t="s">
        <v>166</v>
      </c>
      <c r="G25" s="131"/>
      <c r="H25" s="132">
        <f t="shared" ref="H25:H37" si="6">K25+N25</f>
        <v>65756.460000000006</v>
      </c>
      <c r="I25" s="106"/>
      <c r="J25" s="188"/>
      <c r="K25" s="134">
        <f t="shared" si="4"/>
        <v>59305.75</v>
      </c>
      <c r="L25" s="135" t="s">
        <v>148</v>
      </c>
      <c r="M25" s="133"/>
      <c r="N25" s="134">
        <f t="shared" si="5"/>
        <v>6450.71</v>
      </c>
      <c r="O25" s="106" t="s">
        <v>148</v>
      </c>
      <c r="P25" s="133"/>
      <c r="Q25" s="136">
        <v>59305.75</v>
      </c>
      <c r="R25" s="57"/>
      <c r="S25" s="133"/>
      <c r="T25" s="136">
        <v>6450.71</v>
      </c>
      <c r="U25" s="106"/>
      <c r="V25" s="205"/>
      <c r="W25" s="136"/>
      <c r="X25" s="206"/>
      <c r="Y25" s="206"/>
      <c r="Z25" s="136"/>
      <c r="AE25" s="138">
        <v>673030</v>
      </c>
    </row>
    <row r="26" spans="2:33" ht="14.25" customHeight="1" x14ac:dyDescent="0.25">
      <c r="B26" s="128" t="s">
        <v>145</v>
      </c>
      <c r="C26" s="129">
        <v>6011</v>
      </c>
      <c r="D26" s="129">
        <v>28040</v>
      </c>
      <c r="E26" s="130">
        <v>673040</v>
      </c>
      <c r="F26" s="57" t="s">
        <v>167</v>
      </c>
      <c r="G26" s="131"/>
      <c r="H26" s="132">
        <f t="shared" si="6"/>
        <v>0</v>
      </c>
      <c r="I26" s="106"/>
      <c r="J26" s="188"/>
      <c r="K26" s="146">
        <f t="shared" si="4"/>
        <v>0</v>
      </c>
      <c r="L26" s="135" t="s">
        <v>151</v>
      </c>
      <c r="M26" s="133"/>
      <c r="N26" s="146">
        <f>+T26+Z26</f>
        <v>0</v>
      </c>
      <c r="O26" s="106" t="s">
        <v>151</v>
      </c>
      <c r="P26" s="133"/>
      <c r="Q26" s="148"/>
      <c r="R26" s="57"/>
      <c r="S26" s="133"/>
      <c r="T26" s="148"/>
      <c r="U26" s="106"/>
      <c r="V26" s="205"/>
      <c r="W26" s="148"/>
      <c r="X26" s="206"/>
      <c r="Y26" s="206"/>
      <c r="Z26" s="148"/>
      <c r="AE26" s="153">
        <v>673040</v>
      </c>
    </row>
    <row r="27" spans="2:33" ht="14.25" customHeight="1" x14ac:dyDescent="0.25">
      <c r="B27" s="128" t="s">
        <v>145</v>
      </c>
      <c r="C27" s="129">
        <v>6011</v>
      </c>
      <c r="D27" s="129">
        <v>28040</v>
      </c>
      <c r="E27" s="130">
        <v>673050</v>
      </c>
      <c r="F27" s="57" t="s">
        <v>168</v>
      </c>
      <c r="G27" s="131"/>
      <c r="H27" s="132">
        <f t="shared" si="6"/>
        <v>42008.630000000005</v>
      </c>
      <c r="I27" s="106"/>
      <c r="J27" s="188"/>
      <c r="K27" s="146">
        <f t="shared" si="4"/>
        <v>37887.58</v>
      </c>
      <c r="L27" s="135" t="s">
        <v>151</v>
      </c>
      <c r="M27" s="133"/>
      <c r="N27" s="134">
        <f t="shared" si="5"/>
        <v>4121.05</v>
      </c>
      <c r="O27" s="106" t="s">
        <v>148</v>
      </c>
      <c r="P27" s="133"/>
      <c r="Q27" s="148">
        <v>37887.58</v>
      </c>
      <c r="R27" s="57"/>
      <c r="S27" s="133"/>
      <c r="T27" s="148">
        <v>4121.05</v>
      </c>
      <c r="U27" s="106"/>
      <c r="V27" s="205"/>
      <c r="W27" s="148"/>
      <c r="X27" s="206"/>
      <c r="Y27" s="206"/>
      <c r="Z27" s="148"/>
      <c r="AE27" s="138">
        <v>673050</v>
      </c>
    </row>
    <row r="28" spans="2:33" ht="14.25" customHeight="1" x14ac:dyDescent="0.25">
      <c r="B28" s="128" t="s">
        <v>145</v>
      </c>
      <c r="C28" s="129">
        <v>6011</v>
      </c>
      <c r="D28" s="129">
        <v>28040</v>
      </c>
      <c r="E28" s="130">
        <v>673060</v>
      </c>
      <c r="F28" s="57" t="s">
        <v>169</v>
      </c>
      <c r="G28" s="131"/>
      <c r="H28" s="132">
        <f t="shared" si="6"/>
        <v>0</v>
      </c>
      <c r="I28" s="106"/>
      <c r="J28" s="188"/>
      <c r="K28" s="146">
        <f t="shared" si="4"/>
        <v>0</v>
      </c>
      <c r="L28" s="135" t="s">
        <v>151</v>
      </c>
      <c r="M28" s="133"/>
      <c r="N28" s="134">
        <f t="shared" si="5"/>
        <v>0</v>
      </c>
      <c r="O28" s="106" t="s">
        <v>148</v>
      </c>
      <c r="P28" s="133"/>
      <c r="Q28" s="148"/>
      <c r="R28" s="57"/>
      <c r="S28" s="133"/>
      <c r="T28" s="136"/>
      <c r="U28" s="106"/>
      <c r="V28" s="205"/>
      <c r="W28" s="148"/>
      <c r="X28" s="206"/>
      <c r="Y28" s="206"/>
      <c r="Z28" s="136"/>
      <c r="AE28" s="138">
        <v>673060</v>
      </c>
    </row>
    <row r="29" spans="2:33" ht="14.25" customHeight="1" x14ac:dyDescent="0.25">
      <c r="B29" s="128" t="s">
        <v>145</v>
      </c>
      <c r="C29" s="129">
        <v>6011</v>
      </c>
      <c r="D29" s="129">
        <v>28040</v>
      </c>
      <c r="E29" s="130">
        <v>673070</v>
      </c>
      <c r="F29" s="57" t="s">
        <v>170</v>
      </c>
      <c r="G29" s="131"/>
      <c r="H29" s="132">
        <f t="shared" si="6"/>
        <v>0</v>
      </c>
      <c r="I29" s="106"/>
      <c r="J29" s="188"/>
      <c r="K29" s="146">
        <f t="shared" si="4"/>
        <v>0</v>
      </c>
      <c r="L29" s="135" t="s">
        <v>151</v>
      </c>
      <c r="M29" s="133"/>
      <c r="N29" s="134">
        <f t="shared" si="5"/>
        <v>0</v>
      </c>
      <c r="O29" s="106" t="s">
        <v>148</v>
      </c>
      <c r="P29" s="133"/>
      <c r="Q29" s="148"/>
      <c r="R29" s="57"/>
      <c r="S29" s="133"/>
      <c r="T29" s="136"/>
      <c r="U29" s="106"/>
      <c r="V29" s="205"/>
      <c r="W29" s="148"/>
      <c r="X29" s="206"/>
      <c r="Y29" s="206"/>
      <c r="Z29" s="136"/>
      <c r="AE29" s="138">
        <v>673070</v>
      </c>
    </row>
    <row r="30" spans="2:33" ht="14.25" customHeight="1" x14ac:dyDescent="0.25">
      <c r="B30" s="128" t="s">
        <v>145</v>
      </c>
      <c r="C30" s="129">
        <v>6011</v>
      </c>
      <c r="D30" s="129">
        <v>28040</v>
      </c>
      <c r="E30" s="130">
        <v>673080</v>
      </c>
      <c r="F30" s="57" t="s">
        <v>171</v>
      </c>
      <c r="G30" s="131"/>
      <c r="H30" s="132">
        <f t="shared" si="6"/>
        <v>18153.830000000002</v>
      </c>
      <c r="I30" s="106"/>
      <c r="J30" s="188"/>
      <c r="K30" s="134">
        <f t="shared" si="4"/>
        <v>16479.91</v>
      </c>
      <c r="L30" s="135" t="s">
        <v>148</v>
      </c>
      <c r="M30" s="133"/>
      <c r="N30" s="134">
        <f t="shared" si="5"/>
        <v>1673.92</v>
      </c>
      <c r="O30" s="106" t="s">
        <v>148</v>
      </c>
      <c r="P30" s="133"/>
      <c r="Q30" s="136">
        <v>16479.91</v>
      </c>
      <c r="R30" s="57"/>
      <c r="S30" s="133"/>
      <c r="T30" s="136">
        <v>1673.92</v>
      </c>
      <c r="U30" s="106"/>
      <c r="V30" s="205"/>
      <c r="W30" s="136"/>
      <c r="X30" s="206"/>
      <c r="Y30" s="206"/>
      <c r="Z30" s="136"/>
      <c r="AE30" s="138">
        <v>673080</v>
      </c>
    </row>
    <row r="31" spans="2:33" ht="14.25" customHeight="1" x14ac:dyDescent="0.25">
      <c r="B31" s="128" t="s">
        <v>145</v>
      </c>
      <c r="C31" s="129">
        <v>6011</v>
      </c>
      <c r="D31" s="129">
        <v>28040</v>
      </c>
      <c r="E31" s="130">
        <v>673090</v>
      </c>
      <c r="F31" s="57" t="s">
        <v>172</v>
      </c>
      <c r="G31" s="131"/>
      <c r="H31" s="132">
        <f t="shared" si="6"/>
        <v>0</v>
      </c>
      <c r="I31" s="106"/>
      <c r="J31" s="188"/>
      <c r="K31" s="146">
        <f t="shared" si="4"/>
        <v>0</v>
      </c>
      <c r="L31" s="135" t="s">
        <v>151</v>
      </c>
      <c r="M31" s="133"/>
      <c r="N31" s="146">
        <f>+T31+Z31</f>
        <v>0</v>
      </c>
      <c r="O31" s="106" t="s">
        <v>151</v>
      </c>
      <c r="P31" s="133"/>
      <c r="Q31" s="148"/>
      <c r="R31" s="57"/>
      <c r="S31" s="133"/>
      <c r="T31" s="148"/>
      <c r="U31" s="106"/>
      <c r="V31" s="205"/>
      <c r="W31" s="148"/>
      <c r="X31" s="206"/>
      <c r="Y31" s="206"/>
      <c r="Z31" s="148"/>
      <c r="AE31" s="153">
        <v>673090</v>
      </c>
    </row>
    <row r="32" spans="2:33" ht="14.25" customHeight="1" x14ac:dyDescent="0.25">
      <c r="B32" s="128" t="s">
        <v>145</v>
      </c>
      <c r="C32" s="129">
        <v>6011</v>
      </c>
      <c r="D32" s="129">
        <v>28040</v>
      </c>
      <c r="E32" s="130">
        <v>673120</v>
      </c>
      <c r="F32" s="57" t="s">
        <v>173</v>
      </c>
      <c r="G32" s="131"/>
      <c r="H32" s="132">
        <f t="shared" si="6"/>
        <v>145553.78</v>
      </c>
      <c r="I32" s="106"/>
      <c r="J32" s="188"/>
      <c r="K32" s="134">
        <f t="shared" si="4"/>
        <v>127705.71</v>
      </c>
      <c r="L32" s="135" t="s">
        <v>148</v>
      </c>
      <c r="M32" s="133"/>
      <c r="N32" s="134">
        <f t="shared" si="5"/>
        <v>17848.07</v>
      </c>
      <c r="O32" s="106" t="s">
        <v>148</v>
      </c>
      <c r="P32" s="133"/>
      <c r="Q32" s="136">
        <v>127705.71</v>
      </c>
      <c r="R32" s="57"/>
      <c r="S32" s="133"/>
      <c r="T32" s="136">
        <v>17848.07</v>
      </c>
      <c r="U32" s="106"/>
      <c r="V32" s="205"/>
      <c r="W32" s="136"/>
      <c r="X32" s="206"/>
      <c r="Y32" s="206"/>
      <c r="Z32" s="136"/>
      <c r="AE32" s="138">
        <v>673120</v>
      </c>
    </row>
    <row r="33" spans="2:31" ht="14.25" customHeight="1" x14ac:dyDescent="0.25">
      <c r="B33" s="128" t="s">
        <v>145</v>
      </c>
      <c r="C33" s="129">
        <v>6011</v>
      </c>
      <c r="D33" s="129">
        <v>28040</v>
      </c>
      <c r="E33" s="130">
        <v>673130</v>
      </c>
      <c r="F33" s="57" t="s">
        <v>174</v>
      </c>
      <c r="G33" s="131"/>
      <c r="H33" s="132">
        <f t="shared" si="6"/>
        <v>105</v>
      </c>
      <c r="I33" s="106"/>
      <c r="J33" s="188"/>
      <c r="K33" s="134">
        <f t="shared" si="4"/>
        <v>94.7</v>
      </c>
      <c r="L33" s="135" t="s">
        <v>148</v>
      </c>
      <c r="M33" s="133"/>
      <c r="N33" s="134">
        <f t="shared" si="5"/>
        <v>10.3</v>
      </c>
      <c r="O33" s="106" t="s">
        <v>148</v>
      </c>
      <c r="P33" s="133"/>
      <c r="Q33" s="136">
        <v>94.7</v>
      </c>
      <c r="R33" s="57"/>
      <c r="S33" s="133"/>
      <c r="T33" s="136">
        <v>10.3</v>
      </c>
      <c r="U33" s="106"/>
      <c r="V33" s="205"/>
      <c r="W33" s="136"/>
      <c r="X33" s="104"/>
      <c r="Y33" s="137"/>
      <c r="Z33" s="136"/>
      <c r="AE33" s="138">
        <v>673130</v>
      </c>
    </row>
    <row r="34" spans="2:31" ht="14.25" customHeight="1" x14ac:dyDescent="0.25">
      <c r="B34" s="128" t="s">
        <v>145</v>
      </c>
      <c r="C34" s="129">
        <v>6011</v>
      </c>
      <c r="D34" s="129">
        <v>28040</v>
      </c>
      <c r="E34" s="130">
        <v>673140</v>
      </c>
      <c r="F34" s="57" t="s">
        <v>175</v>
      </c>
      <c r="G34" s="131"/>
      <c r="H34" s="132">
        <f t="shared" si="6"/>
        <v>0</v>
      </c>
      <c r="I34" s="106"/>
      <c r="J34" s="188"/>
      <c r="K34" s="146">
        <f t="shared" si="4"/>
        <v>0</v>
      </c>
      <c r="L34" s="135" t="s">
        <v>151</v>
      </c>
      <c r="M34" s="133"/>
      <c r="N34" s="146">
        <f>+T34+Z34</f>
        <v>0</v>
      </c>
      <c r="O34" s="106" t="s">
        <v>151</v>
      </c>
      <c r="P34" s="133"/>
      <c r="Q34" s="148"/>
      <c r="R34" s="57"/>
      <c r="S34" s="133"/>
      <c r="T34" s="148"/>
      <c r="U34" s="106"/>
      <c r="V34" s="205"/>
      <c r="W34" s="148"/>
      <c r="X34" s="104"/>
      <c r="Y34" s="137"/>
      <c r="Z34" s="148"/>
      <c r="AE34" s="153">
        <v>673140</v>
      </c>
    </row>
    <row r="35" spans="2:31" ht="14.25" customHeight="1" x14ac:dyDescent="0.25">
      <c r="B35" s="128" t="s">
        <v>145</v>
      </c>
      <c r="C35" s="129">
        <v>6011</v>
      </c>
      <c r="D35" s="129">
        <v>28040</v>
      </c>
      <c r="E35" s="130">
        <v>673160</v>
      </c>
      <c r="F35" s="57" t="s">
        <v>176</v>
      </c>
      <c r="G35" s="131"/>
      <c r="H35" s="132">
        <f t="shared" si="6"/>
        <v>0</v>
      </c>
      <c r="I35" s="106"/>
      <c r="J35" s="188"/>
      <c r="K35" s="146">
        <f t="shared" si="4"/>
        <v>0</v>
      </c>
      <c r="L35" s="135" t="s">
        <v>151</v>
      </c>
      <c r="M35" s="133"/>
      <c r="N35" s="146">
        <f>+T35+Z35</f>
        <v>0</v>
      </c>
      <c r="O35" s="106" t="s">
        <v>151</v>
      </c>
      <c r="P35" s="133"/>
      <c r="Q35" s="148"/>
      <c r="R35" s="57"/>
      <c r="S35" s="133"/>
      <c r="T35" s="148"/>
      <c r="U35" s="106"/>
      <c r="V35" s="205"/>
      <c r="W35" s="148"/>
      <c r="X35" s="104"/>
      <c r="Y35" s="137"/>
      <c r="Z35" s="148"/>
      <c r="AE35" s="153">
        <v>673160</v>
      </c>
    </row>
    <row r="36" spans="2:31" ht="14.25" customHeight="1" x14ac:dyDescent="0.25">
      <c r="B36" s="128" t="s">
        <v>145</v>
      </c>
      <c r="C36" s="129">
        <v>6011</v>
      </c>
      <c r="D36" s="129">
        <v>28040</v>
      </c>
      <c r="E36" s="130">
        <v>673180</v>
      </c>
      <c r="F36" s="57" t="s">
        <v>177</v>
      </c>
      <c r="G36" s="131"/>
      <c r="H36" s="132">
        <f t="shared" si="6"/>
        <v>19516.289999999997</v>
      </c>
      <c r="I36" s="106"/>
      <c r="J36" s="188"/>
      <c r="K36" s="134">
        <f>+Q36+W36</f>
        <v>17716.689999999999</v>
      </c>
      <c r="L36" s="135" t="s">
        <v>148</v>
      </c>
      <c r="M36" s="133"/>
      <c r="N36" s="134">
        <f>+T36+Z36</f>
        <v>1799.6</v>
      </c>
      <c r="O36" s="106" t="s">
        <v>148</v>
      </c>
      <c r="P36" s="133"/>
      <c r="Q36" s="136">
        <v>17716.689999999999</v>
      </c>
      <c r="R36" s="57"/>
      <c r="S36" s="133"/>
      <c r="T36" s="136">
        <v>1799.6</v>
      </c>
      <c r="U36" s="106"/>
      <c r="V36" s="205"/>
      <c r="W36" s="136"/>
      <c r="X36" s="104"/>
      <c r="Y36" s="137"/>
      <c r="Z36" s="136"/>
      <c r="AE36" s="138">
        <v>673180</v>
      </c>
    </row>
    <row r="37" spans="2:31" ht="14.25" customHeight="1" x14ac:dyDescent="0.25">
      <c r="B37" s="128" t="s">
        <v>145</v>
      </c>
      <c r="C37" s="129">
        <v>6011</v>
      </c>
      <c r="D37" s="129">
        <v>28040</v>
      </c>
      <c r="E37" s="130">
        <v>673190</v>
      </c>
      <c r="F37" s="169" t="s">
        <v>178</v>
      </c>
      <c r="G37" s="131"/>
      <c r="H37" s="207">
        <f t="shared" si="6"/>
        <v>0</v>
      </c>
      <c r="I37" s="106"/>
      <c r="J37" s="188"/>
      <c r="K37" s="146">
        <f t="shared" si="4"/>
        <v>0</v>
      </c>
      <c r="L37" s="135" t="s">
        <v>151</v>
      </c>
      <c r="M37" s="195"/>
      <c r="N37" s="146">
        <f>+T37+Z37</f>
        <v>0</v>
      </c>
      <c r="O37" s="106" t="s">
        <v>151</v>
      </c>
      <c r="P37" s="195"/>
      <c r="Q37" s="148"/>
      <c r="R37" s="57"/>
      <c r="S37" s="195"/>
      <c r="T37" s="173"/>
      <c r="U37" s="106"/>
      <c r="V37" s="208"/>
      <c r="W37" s="148"/>
      <c r="X37" s="104"/>
      <c r="Y37" s="137"/>
      <c r="Z37" s="148"/>
      <c r="AE37" s="153">
        <v>673190</v>
      </c>
    </row>
    <row r="38" spans="2:31" ht="15" x14ac:dyDescent="0.25">
      <c r="F38" s="57" t="s">
        <v>179</v>
      </c>
      <c r="G38" s="197"/>
      <c r="H38" s="132">
        <f>SUM(H24:H37)</f>
        <v>354956.76999999996</v>
      </c>
      <c r="I38" s="106"/>
      <c r="J38" s="197"/>
      <c r="K38" s="98">
        <f>SUM(K24:K37)</f>
        <v>315222.17000000004</v>
      </c>
      <c r="L38" s="135"/>
      <c r="M38" s="57"/>
      <c r="N38" s="98">
        <f>SUM(N24:N37)</f>
        <v>39734.6</v>
      </c>
      <c r="O38" s="106"/>
      <c r="P38" s="57"/>
      <c r="Q38" s="180">
        <f>SUM(Q24:Q37)</f>
        <v>315222.17000000004</v>
      </c>
      <c r="R38" s="135"/>
      <c r="S38" s="97"/>
      <c r="T38" s="180">
        <f>SUM(T24:T37)</f>
        <v>39734.6</v>
      </c>
      <c r="U38" s="106"/>
      <c r="W38" s="180">
        <f>SUM(W24:W37)</f>
        <v>0</v>
      </c>
      <c r="Y38" s="209"/>
      <c r="Z38" s="180">
        <f>SUM(Z24:Z37)</f>
        <v>0</v>
      </c>
      <c r="AB38" s="183">
        <f>SUM(AB24:AB37)</f>
        <v>0</v>
      </c>
      <c r="AC38" s="183">
        <f>SUM(AC24:AC37)</f>
        <v>0</v>
      </c>
      <c r="AD38" s="183"/>
    </row>
    <row r="39" spans="2:31" ht="14.1" customHeight="1" x14ac:dyDescent="0.25">
      <c r="F39" s="203"/>
      <c r="H39" s="210"/>
      <c r="I39" s="106"/>
      <c r="J39" s="197"/>
      <c r="K39" s="211"/>
      <c r="L39" s="212"/>
      <c r="M39" s="197"/>
      <c r="N39" s="211"/>
      <c r="O39" s="106"/>
      <c r="P39" s="97"/>
      <c r="Q39" s="98"/>
      <c r="R39" s="57"/>
      <c r="S39" s="97"/>
      <c r="T39" s="98"/>
      <c r="U39" s="106"/>
      <c r="V39" s="213"/>
      <c r="W39" s="176"/>
      <c r="Z39" s="99"/>
      <c r="AB39" s="105"/>
      <c r="AC39" s="105"/>
      <c r="AD39" s="105"/>
    </row>
    <row r="40" spans="2:31" ht="15.75" customHeight="1" x14ac:dyDescent="0.25">
      <c r="F40" s="97" t="s">
        <v>180</v>
      </c>
      <c r="G40" s="197">
        <f>+G38+G22+G15</f>
        <v>11672230</v>
      </c>
      <c r="H40" s="132">
        <f>+H38+H22+H15</f>
        <v>6769704.3699999992</v>
      </c>
      <c r="I40" s="106"/>
      <c r="J40" s="214">
        <f>+J38+J22+J15</f>
        <v>8694179</v>
      </c>
      <c r="K40" s="180">
        <f>+K38+K22+K15</f>
        <v>5579301.9699999988</v>
      </c>
      <c r="L40" s="215"/>
      <c r="M40" s="214">
        <f>+M38+M22+M15</f>
        <v>2978051</v>
      </c>
      <c r="N40" s="180">
        <f>+N38+N22+N15</f>
        <v>1190402.4000000004</v>
      </c>
      <c r="O40" s="117"/>
      <c r="P40" s="214">
        <f>+P38+P22+P15</f>
        <v>8694178</v>
      </c>
      <c r="Q40" s="180">
        <f>+Q38+Q22+Q15</f>
        <v>5525204.3100000005</v>
      </c>
      <c r="R40" s="79"/>
      <c r="S40" s="214">
        <f>+S38+S22+S15</f>
        <v>2978052</v>
      </c>
      <c r="T40" s="180">
        <f>+T38+T22+T15</f>
        <v>1183364.9700000002</v>
      </c>
      <c r="U40" s="106"/>
      <c r="V40" s="216">
        <f>+V38+V22+V15</f>
        <v>1</v>
      </c>
      <c r="W40" s="180">
        <f>+W38+W22+W15</f>
        <v>54097.66</v>
      </c>
      <c r="Y40" s="75">
        <f>+Y38+Y22+Y15</f>
        <v>-1</v>
      </c>
      <c r="Z40" s="180">
        <f>+Z38+Z22+Z15</f>
        <v>7037.43</v>
      </c>
      <c r="AB40" s="183">
        <f>+AB38+AB22+AB15</f>
        <v>0</v>
      </c>
      <c r="AC40" s="183">
        <f>+AC38+AC22+AC15</f>
        <v>0</v>
      </c>
      <c r="AD40" s="183"/>
      <c r="AE40" s="191"/>
    </row>
    <row r="41" spans="2:31" ht="14.1" customHeight="1" x14ac:dyDescent="0.25">
      <c r="H41" s="217"/>
      <c r="I41" s="106"/>
      <c r="J41" s="143"/>
      <c r="K41" s="186"/>
      <c r="L41" s="212"/>
      <c r="M41" s="143"/>
      <c r="N41" s="186"/>
      <c r="O41" s="106"/>
      <c r="P41" s="57"/>
      <c r="Q41" s="52"/>
      <c r="R41" s="57"/>
      <c r="S41" s="57"/>
      <c r="T41" s="52"/>
      <c r="U41" s="106"/>
      <c r="W41" s="99"/>
      <c r="Z41" s="99"/>
    </row>
    <row r="42" spans="2:31" ht="14.1" customHeight="1" x14ac:dyDescent="0.25">
      <c r="C42" s="143" t="s">
        <v>181</v>
      </c>
      <c r="I42" s="106"/>
      <c r="J42" s="218" t="s">
        <v>75</v>
      </c>
      <c r="K42" s="219">
        <f>+K8+K9+K10+K11+K12+K13+K14+K18+K26+K27+K28+K29+K31+K34+K35+K37</f>
        <v>1863237.9600000002</v>
      </c>
      <c r="L42" s="212" t="s">
        <v>151</v>
      </c>
      <c r="M42" s="143"/>
      <c r="N42" s="220">
        <f>+N8+N9+N10+N11+N12+N13+N14+N18+N26+N31+N34+N35+N37+N27</f>
        <v>413335.81000000006</v>
      </c>
      <c r="O42" s="221" t="s">
        <v>151</v>
      </c>
      <c r="P42" s="57"/>
      <c r="Q42" s="222">
        <f>+Q8+Q9+Q10+Q11+Q12+Q13+Q14+Q18+Q26+Q27+Q28+Q29+Q31+Q34+Q35+Q37</f>
        <v>1863813.4000000001</v>
      </c>
      <c r="R42" s="57"/>
      <c r="S42" s="218" t="s">
        <v>89</v>
      </c>
      <c r="T42" s="222">
        <f>+T8+T10+T9+T11+T12+T13+T14+T18+T26+T31+T34+T35+T37+T27</f>
        <v>413939.38</v>
      </c>
      <c r="U42" s="106"/>
      <c r="W42" s="222">
        <f>+W8+W9+W10+W11+W12+W13+W14+W18+W26+W27+W28+W29+W31+W34+W35+W37</f>
        <v>-575.43999999999994</v>
      </c>
      <c r="Z42" s="222">
        <f>Z9+Z10+Z11+Z12+Z13+Z14+Z18+Z26+Z31+Z34+Z35+Z37+Z8+Z27</f>
        <v>-603.57000000000005</v>
      </c>
      <c r="AB42" s="223">
        <f>+AB8+AB9+AB10+AB11+AB12+AB13+AB14+AB18+AB26+AB27+AB28+AB29+AB31+AB34+AB35+AB37</f>
        <v>0</v>
      </c>
      <c r="AC42" s="223">
        <f>+AC6+AC8+AC9+AC10+AC11+AC12+AC13+AC14+AC18+AC26+AC31+AC34+AC35+AC37</f>
        <v>0</v>
      </c>
    </row>
    <row r="43" spans="2:31" ht="14.1" customHeight="1" x14ac:dyDescent="0.25">
      <c r="C43" s="143" t="s">
        <v>182</v>
      </c>
      <c r="I43" s="106"/>
      <c r="J43" s="218" t="s">
        <v>75</v>
      </c>
      <c r="K43" s="219">
        <f>+K6+K7+K17+K24+K25+K30+K32+K33+K36+K19+K20+K21</f>
        <v>3716064.01</v>
      </c>
      <c r="L43" s="212" t="s">
        <v>148</v>
      </c>
      <c r="M43" s="143"/>
      <c r="N43" s="220">
        <f>N6+N7+N17+N24+N25+N30+N32+N33+N36+N19+N20+N21+N29+N28</f>
        <v>777066.59000000008</v>
      </c>
      <c r="O43" s="221" t="s">
        <v>148</v>
      </c>
      <c r="P43" s="57"/>
      <c r="Q43" s="224">
        <f>Q6+Q7+Q17+Q24+Q25+Q30+Q32+Q33+Q36+Q19+Q20+Q21</f>
        <v>3661390.91</v>
      </c>
      <c r="R43" s="57"/>
      <c r="S43" s="218" t="s">
        <v>89</v>
      </c>
      <c r="T43" s="224">
        <f>+T7+T6+T17+T24+T25+T30+T32+T33+T36+T19+T20+T21+T29+T28</f>
        <v>769425.59000000008</v>
      </c>
      <c r="U43" s="106"/>
      <c r="W43" s="224">
        <f>W6+W7+W17+W24+W25+W30+W32+W33+W36+W19+W20+W21</f>
        <v>54673.1</v>
      </c>
      <c r="Z43" s="224">
        <f>+Z7+Z17+Z24+Z25+Z30+Z32+Z33+Z36+Z19+Z20+Z21+Z29+Z28+Z6</f>
        <v>7641</v>
      </c>
      <c r="AB43" s="225">
        <f>AB6+AB7+AB17+AB24+AB25+AB30+AB32+AB33+AB36</f>
        <v>0</v>
      </c>
      <c r="AC43" s="225">
        <f>+AC7+AC17+AC24+AC25+AC27+AC28+AC29+AC30+AC32+AC33+AC36</f>
        <v>0</v>
      </c>
    </row>
    <row r="44" spans="2:31" ht="15" customHeight="1" x14ac:dyDescent="0.25">
      <c r="C44" s="143" t="s">
        <v>85</v>
      </c>
      <c r="I44" s="106"/>
      <c r="J44" s="143"/>
      <c r="K44" s="180">
        <f>SUM(K42:K43)</f>
        <v>5579301.9699999997</v>
      </c>
      <c r="L44" s="226"/>
      <c r="M44" s="143"/>
      <c r="N44" s="180">
        <f>SUM(N42:N43)</f>
        <v>1190402.4000000001</v>
      </c>
      <c r="O44" s="106"/>
      <c r="P44" s="57"/>
      <c r="Q44" s="180">
        <f>SUM(Q42:Q43)</f>
        <v>5525204.3100000005</v>
      </c>
      <c r="R44" s="57"/>
      <c r="S44" s="57"/>
      <c r="T44" s="180">
        <f>SUM(T42:T43)</f>
        <v>1183364.9700000002</v>
      </c>
      <c r="U44" s="106"/>
      <c r="W44" s="180">
        <f>SUM(W42:W43)</f>
        <v>54097.659999999996</v>
      </c>
      <c r="Z44" s="180">
        <f>SUM(Z42:Z43)</f>
        <v>7037.43</v>
      </c>
      <c r="AB44" s="227">
        <f>SUM(AB42:AB43)</f>
        <v>0</v>
      </c>
      <c r="AC44" s="227">
        <f>SUM(AC42:AC43)</f>
        <v>0</v>
      </c>
      <c r="AD44" s="228"/>
    </row>
    <row r="45" spans="2:31" ht="15" customHeight="1" x14ac:dyDescent="0.25">
      <c r="L45" s="100"/>
    </row>
    <row r="46" spans="2:31" ht="15" customHeight="1" x14ac:dyDescent="0.25">
      <c r="J46" s="57" t="s">
        <v>183</v>
      </c>
      <c r="K46" s="229">
        <f>K44+N44</f>
        <v>6769704.3700000001</v>
      </c>
      <c r="P46" s="230" t="s">
        <v>184</v>
      </c>
      <c r="Q46" s="231">
        <f>Q44-Q11-Q12-Q13</f>
        <v>5772101.8700000001</v>
      </c>
      <c r="R46" s="100"/>
      <c r="S46" s="230" t="s">
        <v>184</v>
      </c>
      <c r="T46" s="231">
        <f>T44-T11-T12-T13</f>
        <v>1183447.8200000003</v>
      </c>
      <c r="W46" s="191"/>
      <c r="Z46" s="43">
        <f>+Z44+W44</f>
        <v>61135.09</v>
      </c>
      <c r="AE46" s="57" t="s">
        <v>185</v>
      </c>
    </row>
    <row r="47" spans="2:31" ht="15" customHeight="1" x14ac:dyDescent="0.25">
      <c r="F47" s="232"/>
      <c r="K47" s="233"/>
      <c r="P47" s="234" t="s">
        <v>186</v>
      </c>
      <c r="Q47" s="235">
        <f>W44</f>
        <v>54097.659999999996</v>
      </c>
      <c r="R47" s="143"/>
      <c r="S47" s="234" t="s">
        <v>186</v>
      </c>
      <c r="T47" s="235">
        <f>Z44</f>
        <v>7037.43</v>
      </c>
      <c r="W47" s="75" t="s">
        <v>187</v>
      </c>
      <c r="Z47" s="191"/>
    </row>
    <row r="48" spans="2:31" ht="15" customHeight="1" x14ac:dyDescent="0.25">
      <c r="F48" s="232"/>
      <c r="G48" s="75" t="s">
        <v>188</v>
      </c>
      <c r="Q48" s="236">
        <f>Q46+Q47</f>
        <v>5826199.5300000003</v>
      </c>
      <c r="R48" s="237"/>
      <c r="S48" s="237"/>
      <c r="T48" s="236">
        <f>T46+T47</f>
        <v>1190485.2500000002</v>
      </c>
      <c r="U48" s="237"/>
      <c r="V48" s="237"/>
      <c r="W48" s="238">
        <f>Q11+Q12+Q13+T11+T12+T13</f>
        <v>-246980.41000000003</v>
      </c>
      <c r="Z48" s="239"/>
    </row>
    <row r="49" spans="2:26" ht="15" customHeight="1" x14ac:dyDescent="0.25">
      <c r="F49" s="232"/>
      <c r="L49" s="240"/>
      <c r="M49" s="241" t="s">
        <v>90</v>
      </c>
      <c r="N49" s="242" t="s">
        <v>189</v>
      </c>
      <c r="Q49" s="243"/>
      <c r="T49" s="243"/>
      <c r="Z49" s="239"/>
    </row>
    <row r="50" spans="2:26" ht="14.1" customHeight="1" x14ac:dyDescent="0.25">
      <c r="L50" s="111"/>
      <c r="M50" s="241" t="s">
        <v>190</v>
      </c>
      <c r="N50" s="242" t="s">
        <v>191</v>
      </c>
      <c r="P50" s="79"/>
      <c r="Z50" s="239"/>
    </row>
    <row r="51" spans="2:26" ht="14.1" customHeight="1" x14ac:dyDescent="0.25">
      <c r="B51" s="75"/>
      <c r="L51" s="111"/>
      <c r="M51" s="241" t="s">
        <v>192</v>
      </c>
      <c r="N51" s="242" t="s">
        <v>193</v>
      </c>
    </row>
    <row r="52" spans="2:26" ht="14.1" customHeight="1" x14ac:dyDescent="0.25">
      <c r="B52" s="244"/>
      <c r="L52" s="111"/>
      <c r="M52" s="241" t="s">
        <v>194</v>
      </c>
      <c r="N52" s="242" t="s">
        <v>195</v>
      </c>
    </row>
    <row r="53" spans="2:26" ht="14.1" customHeight="1" x14ac:dyDescent="0.25">
      <c r="L53" s="111"/>
      <c r="M53" s="241" t="s">
        <v>196</v>
      </c>
      <c r="N53" s="245" t="s">
        <v>197</v>
      </c>
    </row>
    <row r="54" spans="2:26" ht="14.1" customHeight="1" x14ac:dyDescent="0.25">
      <c r="L54" s="111"/>
      <c r="M54" s="241" t="s">
        <v>198</v>
      </c>
      <c r="N54" s="242" t="s">
        <v>199</v>
      </c>
    </row>
    <row r="55" spans="2:26" ht="14.1" customHeight="1" x14ac:dyDescent="0.25">
      <c r="L55" s="111"/>
      <c r="M55" s="241" t="s">
        <v>200</v>
      </c>
      <c r="N55" s="242" t="s">
        <v>201</v>
      </c>
    </row>
    <row r="56" spans="2:26" ht="14.1" customHeight="1" x14ac:dyDescent="0.25">
      <c r="L56" s="111"/>
      <c r="M56" s="241" t="s">
        <v>202</v>
      </c>
      <c r="N56" s="242" t="s">
        <v>203</v>
      </c>
    </row>
    <row r="57" spans="2:26" ht="14.1" customHeight="1" x14ac:dyDescent="0.25">
      <c r="L57" s="100"/>
      <c r="M57" s="246"/>
      <c r="N57" s="242" t="s">
        <v>204</v>
      </c>
    </row>
    <row r="58" spans="2:26" ht="14.1" customHeight="1" thickBot="1" x14ac:dyDescent="0.3">
      <c r="P58" s="247" t="s">
        <v>144</v>
      </c>
      <c r="Q58" s="248"/>
      <c r="R58" s="247"/>
      <c r="S58" s="247" t="s">
        <v>144</v>
      </c>
      <c r="T58" s="248"/>
    </row>
    <row r="59" spans="2:26" ht="14.1" customHeight="1" x14ac:dyDescent="0.25">
      <c r="B59" s="75"/>
      <c r="J59" s="249" t="s">
        <v>205</v>
      </c>
      <c r="K59" s="250" t="s">
        <v>206</v>
      </c>
      <c r="L59" s="79"/>
      <c r="M59" s="73">
        <v>6011</v>
      </c>
      <c r="N59" s="242" t="s">
        <v>207</v>
      </c>
      <c r="P59" s="79" t="e">
        <f ca="1">[2]!SSGXA4(N$55&amp;"-"&amp;J59&amp;"-"&amp;$M59&amp;"-"&amp;$N59,N$49,N$51,N$52,N$53,N$54)</f>
        <v>#NAME?</v>
      </c>
      <c r="Q59" s="77" t="e">
        <f ca="1">[2]!SSGXA4(N$55&amp;"-"&amp;J59&amp;"-"&amp;$M59&amp;"-"&amp;$N59,N$50,N$51,N$52,N$53,N$54)</f>
        <v>#NAME?</v>
      </c>
      <c r="R59" s="143">
        <v>-1</v>
      </c>
      <c r="S59" s="79" t="e">
        <f ca="1">[2]!SSGXA4(N$55&amp;"-"&amp;K59&amp;"-"&amp;$M59&amp;"-"&amp;$N59,N$49,N$51,N$52,N$53,N$54)</f>
        <v>#NAME?</v>
      </c>
      <c r="T59" s="77" t="e">
        <f ca="1">[2]!SSGXA4(N$55&amp;"-"&amp;K59&amp;"-"&amp;$M59&amp;"-"&amp;$N59,N$50,N$51,N$52,N$53,N$54)</f>
        <v>#NAME?</v>
      </c>
      <c r="U59" s="251">
        <v>-4</v>
      </c>
    </row>
    <row r="60" spans="2:26" ht="14.1" customHeight="1" x14ac:dyDescent="0.25">
      <c r="J60" s="249" t="s">
        <v>205</v>
      </c>
      <c r="K60" s="250" t="s">
        <v>206</v>
      </c>
      <c r="L60" s="79"/>
      <c r="M60" s="73">
        <v>6011</v>
      </c>
      <c r="N60" s="73">
        <v>28082</v>
      </c>
      <c r="P60" s="79" t="e">
        <f ca="1">[2]!SSGXA4(N$55&amp;"-"&amp;J60&amp;"-"&amp;$M60&amp;"-"&amp;$N60,N$49,N$51,N$52,N$53,N$54)</f>
        <v>#NAME?</v>
      </c>
      <c r="Q60" s="252" t="e">
        <f ca="1">[2]!SSGXA4(N$55&amp;"-"&amp;N$56&amp;"-"&amp;$M60&amp;"-"&amp;$N60,N$50,N$51,N$52,N$53,N$54)</f>
        <v>#NAME?</v>
      </c>
      <c r="R60" s="143">
        <v>-2</v>
      </c>
      <c r="S60" s="77"/>
      <c r="T60" s="252"/>
      <c r="U60" s="251"/>
    </row>
    <row r="61" spans="2:26" ht="15" x14ac:dyDescent="0.25">
      <c r="J61" s="249" t="s">
        <v>205</v>
      </c>
      <c r="K61" s="250" t="s">
        <v>206</v>
      </c>
      <c r="L61" s="79"/>
      <c r="M61" s="73">
        <v>6011</v>
      </c>
      <c r="N61" s="73">
        <v>28120</v>
      </c>
      <c r="P61" s="79" t="e">
        <f ca="1">[2]!SSGXA4(N$55&amp;"-"&amp;J61&amp;"-"&amp;$M61&amp;"-"&amp;$N61,N$49,N$51,N$52,N$53,N$54)</f>
        <v>#NAME?</v>
      </c>
      <c r="Q61" s="77" t="e">
        <f ca="1">[2]!SSGXA4(N$55&amp;"-"&amp;J61&amp;"-"&amp;$M61&amp;"-"&amp;$N61,N$50,N$51,N$52,N$53,N$54)</f>
        <v>#NAME?</v>
      </c>
      <c r="R61" s="143">
        <v>-3</v>
      </c>
      <c r="S61" s="79" t="e">
        <f ca="1">[2]!SSGXA4(N$55&amp;"-"&amp;K61&amp;"-"&amp;$M61&amp;"-"&amp;$N61,N$49,N$51,N$52,N$53,N$54)</f>
        <v>#NAME?</v>
      </c>
      <c r="T61" s="77" t="e">
        <f ca="1">[2]!SSGXA4(N$55&amp;"-"&amp;K61&amp;"-"&amp;$M61&amp;"-"&amp;$N61,N$50,N$51,N$52,N$53,N$54)</f>
        <v>#NAME?</v>
      </c>
      <c r="U61" s="251">
        <v>-5</v>
      </c>
    </row>
    <row r="62" spans="2:26" ht="14.1" customHeight="1" x14ac:dyDescent="0.25">
      <c r="B62" s="74"/>
      <c r="P62" s="79"/>
      <c r="Q62" s="253" t="e">
        <f ca="1">SUM(Q59:Q61)</f>
        <v>#NAME?</v>
      </c>
      <c r="R62" s="116"/>
      <c r="S62" s="116"/>
      <c r="T62" s="253" t="e">
        <f ca="1">SUM(T59:T61)</f>
        <v>#NAME?</v>
      </c>
      <c r="U62" s="79"/>
    </row>
    <row r="63" spans="2:26" ht="14.1" customHeight="1" x14ac:dyDescent="0.25">
      <c r="P63" s="254"/>
      <c r="Q63" s="255"/>
      <c r="R63" s="254"/>
      <c r="S63" s="254"/>
      <c r="T63" s="255"/>
      <c r="U63" s="79"/>
    </row>
    <row r="69" spans="17:22" ht="14.1" customHeight="1" x14ac:dyDescent="0.25">
      <c r="Q69" s="75">
        <v>9776852</v>
      </c>
      <c r="S69" s="75">
        <v>2278617.61</v>
      </c>
      <c r="T69" s="75">
        <v>2102518</v>
      </c>
      <c r="V69" s="75">
        <v>317389.78000000003</v>
      </c>
    </row>
    <row r="71" spans="17:22" ht="14.1" customHeight="1" x14ac:dyDescent="0.25">
      <c r="S71" s="256">
        <f>+S69/Q69</f>
        <v>0.23306250416800825</v>
      </c>
      <c r="V71" s="256">
        <f>+V69/T69</f>
        <v>0.15095698586171438</v>
      </c>
    </row>
  </sheetData>
  <mergeCells count="15">
    <mergeCell ref="W1:Y1"/>
    <mergeCell ref="B2:E2"/>
    <mergeCell ref="G2:H2"/>
    <mergeCell ref="J2:N2"/>
    <mergeCell ref="P2:T2"/>
    <mergeCell ref="W2:Y2"/>
    <mergeCell ref="B5:E5"/>
    <mergeCell ref="W3:Y3"/>
    <mergeCell ref="AB3:AC3"/>
    <mergeCell ref="J4:K4"/>
    <mergeCell ref="M4:N4"/>
    <mergeCell ref="P4:Q4"/>
    <mergeCell ref="S4:T4"/>
    <mergeCell ref="V4:W4"/>
    <mergeCell ref="Y4:Z4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1:AK112"/>
  <sheetViews>
    <sheetView showGridLines="0" topLeftCell="A10" zoomScaleNormal="100" workbookViewId="0">
      <selection activeCell="H51" sqref="H51"/>
    </sheetView>
  </sheetViews>
  <sheetFormatPr defaultRowHeight="12.75" x14ac:dyDescent="0.2"/>
  <cols>
    <col min="1" max="1" width="1.7109375" customWidth="1"/>
    <col min="2" max="2" width="21.7109375" style="14" customWidth="1"/>
    <col min="3" max="3" width="26.140625" style="15" customWidth="1"/>
    <col min="4" max="4" width="3.5703125" style="17" hidden="1" customWidth="1"/>
    <col min="5" max="5" width="4" style="17" bestFit="1" customWidth="1"/>
    <col min="6" max="6" width="13.7109375" style="17" customWidth="1"/>
    <col min="7" max="7" width="15" style="47" bestFit="1" customWidth="1"/>
    <col min="8" max="8" width="12.140625" style="31" customWidth="1"/>
    <col min="9" max="9" width="11.85546875" style="31" bestFit="1" customWidth="1"/>
    <col min="10" max="10" width="14" style="31" bestFit="1" customWidth="1"/>
    <col min="11" max="12" width="16.140625" style="31" bestFit="1" customWidth="1"/>
    <col min="13" max="13" width="14.5703125" style="31" bestFit="1" customWidth="1"/>
    <col min="14" max="14" width="16.85546875" style="31" bestFit="1" customWidth="1"/>
    <col min="15" max="15" width="16.85546875" style="31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82" t="s">
        <v>115</v>
      </c>
      <c r="C1" s="83"/>
      <c r="E1" s="319" t="s">
        <v>81</v>
      </c>
      <c r="F1" s="319"/>
      <c r="G1" s="319"/>
      <c r="H1" s="319"/>
      <c r="I1" s="319"/>
      <c r="J1" s="319"/>
      <c r="K1" s="319"/>
      <c r="L1" s="318"/>
      <c r="M1" s="318"/>
      <c r="N1" s="318"/>
      <c r="O1" s="318"/>
      <c r="P1" s="31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37" ht="14.25" customHeight="1" x14ac:dyDescent="0.25">
      <c r="B2" s="82" t="s">
        <v>116</v>
      </c>
      <c r="C2" s="83"/>
      <c r="D2" s="58"/>
      <c r="E2" s="319"/>
      <c r="F2" s="319"/>
      <c r="G2" s="319"/>
      <c r="H2" s="319"/>
      <c r="I2" s="319"/>
      <c r="J2" s="319"/>
      <c r="K2" s="319"/>
      <c r="L2" s="320" t="s">
        <v>0</v>
      </c>
      <c r="M2" s="320"/>
      <c r="N2" s="320"/>
      <c r="O2" s="320"/>
      <c r="P2" s="320"/>
    </row>
    <row r="3" spans="2:37" ht="14.25" customHeight="1" x14ac:dyDescent="0.25">
      <c r="B3" s="321" t="s">
        <v>117</v>
      </c>
      <c r="C3" s="321"/>
      <c r="D3" s="58"/>
      <c r="E3" s="78"/>
      <c r="F3" s="322">
        <f>'Core Cost Incurred'!B2</f>
        <v>43368</v>
      </c>
      <c r="G3" s="322"/>
      <c r="H3" s="322"/>
      <c r="I3" s="322"/>
      <c r="J3" s="322"/>
      <c r="K3" s="322"/>
      <c r="L3" s="323" t="s">
        <v>1</v>
      </c>
      <c r="M3" s="323"/>
      <c r="N3" s="323"/>
      <c r="O3" s="323"/>
      <c r="P3" s="323"/>
    </row>
    <row r="4" spans="2:37" ht="14.25" customHeight="1" x14ac:dyDescent="0.25">
      <c r="B4" s="324" t="s">
        <v>118</v>
      </c>
      <c r="C4" s="324"/>
      <c r="D4" s="58"/>
      <c r="E4" s="78"/>
      <c r="F4" s="322"/>
      <c r="G4" s="322"/>
      <c r="H4" s="322"/>
      <c r="I4" s="322"/>
      <c r="J4" s="322"/>
      <c r="K4" s="322"/>
      <c r="L4" s="325" t="s">
        <v>2</v>
      </c>
      <c r="M4" s="325"/>
      <c r="N4" s="325"/>
      <c r="O4" s="325"/>
      <c r="P4" s="325"/>
    </row>
    <row r="5" spans="2:37" ht="14.25" customHeight="1" x14ac:dyDescent="0.2">
      <c r="D5" s="58"/>
      <c r="E5" s="78"/>
      <c r="F5" s="78"/>
      <c r="G5" s="78"/>
      <c r="H5" s="78"/>
      <c r="I5" s="78"/>
      <c r="J5" s="78"/>
      <c r="K5" s="78"/>
      <c r="L5" s="318"/>
      <c r="M5" s="318"/>
      <c r="N5" s="318"/>
      <c r="O5" s="318"/>
      <c r="P5" s="31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2:37" x14ac:dyDescent="0.2">
      <c r="B6" s="2"/>
      <c r="C6" s="3"/>
      <c r="D6" s="4"/>
      <c r="E6" s="4"/>
      <c r="F6" s="4"/>
      <c r="G6" s="76" t="s">
        <v>82</v>
      </c>
      <c r="H6" s="59" t="s">
        <v>83</v>
      </c>
      <c r="I6" s="59" t="s">
        <v>84</v>
      </c>
      <c r="J6" s="59" t="s">
        <v>3</v>
      </c>
      <c r="K6" s="59" t="s">
        <v>83</v>
      </c>
      <c r="L6" s="59" t="s">
        <v>84</v>
      </c>
      <c r="M6" s="59"/>
      <c r="N6" s="59" t="s">
        <v>85</v>
      </c>
      <c r="O6" s="84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5"/>
    </row>
    <row r="7" spans="2:37" ht="15" x14ac:dyDescent="0.25">
      <c r="B7" s="6"/>
      <c r="C7" s="7"/>
      <c r="D7" s="8"/>
      <c r="E7" s="8"/>
      <c r="F7" s="6" t="s">
        <v>4</v>
      </c>
      <c r="G7" s="76" t="s">
        <v>108</v>
      </c>
      <c r="H7" s="59" t="s">
        <v>5</v>
      </c>
      <c r="I7" s="59" t="s">
        <v>5</v>
      </c>
      <c r="J7" s="59" t="s">
        <v>6</v>
      </c>
      <c r="K7" s="59" t="s">
        <v>86</v>
      </c>
      <c r="L7" s="59" t="s">
        <v>86</v>
      </c>
      <c r="M7" s="59" t="s">
        <v>3</v>
      </c>
      <c r="N7" s="59" t="s">
        <v>3</v>
      </c>
      <c r="O7" s="84"/>
      <c r="Q7" s="22"/>
      <c r="R7" s="85">
        <v>200294.94</v>
      </c>
      <c r="S7" s="22"/>
      <c r="T7" s="22"/>
      <c r="U7" s="85">
        <v>140046.39000000001</v>
      </c>
      <c r="V7" s="22"/>
      <c r="W7" s="22"/>
      <c r="X7" s="22"/>
      <c r="Y7" s="22"/>
      <c r="Z7" s="22"/>
      <c r="AA7" s="22"/>
      <c r="AB7" s="22"/>
      <c r="AC7" s="9"/>
      <c r="AD7" s="10"/>
    </row>
    <row r="8" spans="2:37" s="13" customFormat="1" ht="15" x14ac:dyDescent="0.25">
      <c r="B8" s="60"/>
      <c r="C8" s="61"/>
      <c r="D8" s="60" t="s">
        <v>7</v>
      </c>
      <c r="E8" s="60" t="s">
        <v>8</v>
      </c>
      <c r="F8" s="60" t="s">
        <v>8</v>
      </c>
      <c r="G8" s="86" t="s">
        <v>87</v>
      </c>
      <c r="H8" s="62" t="s">
        <v>119</v>
      </c>
      <c r="I8" s="62" t="str">
        <f>+H8</f>
        <v>Sep 1 2017</v>
      </c>
      <c r="J8" s="62" t="str">
        <f>I8</f>
        <v>Sep 1 2017</v>
      </c>
      <c r="K8" s="63" t="s">
        <v>88</v>
      </c>
      <c r="L8" s="63" t="s">
        <v>88</v>
      </c>
      <c r="M8" s="63" t="s">
        <v>6</v>
      </c>
      <c r="N8" s="63" t="s">
        <v>88</v>
      </c>
      <c r="O8" s="84"/>
      <c r="P8"/>
      <c r="Q8" s="85">
        <v>11214374</v>
      </c>
      <c r="R8" s="85">
        <f>2345597.06+78799.97+56688.77</f>
        <v>2481085.8000000003</v>
      </c>
      <c r="S8" s="22"/>
      <c r="T8" s="85">
        <v>2845776</v>
      </c>
      <c r="U8" s="85">
        <v>459339.89</v>
      </c>
      <c r="V8" s="22"/>
      <c r="W8" s="22"/>
      <c r="X8" s="22"/>
      <c r="Y8" s="22"/>
      <c r="Z8" s="22"/>
      <c r="AA8" s="22"/>
      <c r="AB8" s="22"/>
      <c r="AC8" s="11"/>
      <c r="AD8" s="10" t="s">
        <v>9</v>
      </c>
      <c r="AE8" s="10" t="s">
        <v>10</v>
      </c>
      <c r="AF8" s="10" t="s">
        <v>11</v>
      </c>
      <c r="AG8" s="12" t="s">
        <v>12</v>
      </c>
      <c r="AH8" s="10" t="s">
        <v>13</v>
      </c>
      <c r="AI8" s="10" t="s">
        <v>14</v>
      </c>
      <c r="AJ8" s="10" t="s">
        <v>15</v>
      </c>
      <c r="AK8" s="10" t="s">
        <v>16</v>
      </c>
    </row>
    <row r="9" spans="2:37" ht="15" x14ac:dyDescent="0.2">
      <c r="B9" s="64" t="s">
        <v>17</v>
      </c>
      <c r="C9" s="15" t="s">
        <v>18</v>
      </c>
      <c r="D9" s="16">
        <v>1</v>
      </c>
      <c r="E9" s="17" t="s">
        <v>19</v>
      </c>
      <c r="F9" s="18" t="s">
        <v>120</v>
      </c>
      <c r="G9" s="23"/>
      <c r="H9" s="65">
        <v>0.27335999999999999</v>
      </c>
      <c r="I9" s="65">
        <v>0.16533</v>
      </c>
      <c r="J9" s="65">
        <v>5.3220000000000003E-2</v>
      </c>
      <c r="K9" s="20">
        <f>ROUND(H9*G9,2)</f>
        <v>0</v>
      </c>
      <c r="L9" s="20">
        <f>ROUND(G9*I9,2)</f>
        <v>0</v>
      </c>
      <c r="M9" s="87">
        <f>ROUND(G9*J9,2)</f>
        <v>0</v>
      </c>
      <c r="N9" s="88">
        <f>SUM(K9:M9)</f>
        <v>0</v>
      </c>
      <c r="O9" s="25" t="s">
        <v>121</v>
      </c>
      <c r="Q9" s="21" t="s">
        <v>20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t="s">
        <v>21</v>
      </c>
      <c r="AG9" s="22">
        <v>0</v>
      </c>
      <c r="AK9" t="s">
        <v>22</v>
      </c>
    </row>
    <row r="10" spans="2:37" ht="15.75" x14ac:dyDescent="0.25">
      <c r="B10" s="64" t="s">
        <v>17</v>
      </c>
      <c r="C10" s="15" t="s">
        <v>23</v>
      </c>
      <c r="D10" s="16">
        <v>1</v>
      </c>
      <c r="E10" s="17" t="s">
        <v>24</v>
      </c>
      <c r="F10" s="18" t="s">
        <v>122</v>
      </c>
      <c r="G10" s="23">
        <v>0</v>
      </c>
      <c r="H10" s="66">
        <f>$H$9</f>
        <v>0.27335999999999999</v>
      </c>
      <c r="I10" s="66">
        <f>$I$9</f>
        <v>0.16533</v>
      </c>
      <c r="J10" s="66">
        <f>$J$9</f>
        <v>5.3220000000000003E-2</v>
      </c>
      <c r="K10" s="20">
        <f>ROUND(H10*G10,2)</f>
        <v>0</v>
      </c>
      <c r="L10" s="20">
        <f>ROUND(G10*I10,2)</f>
        <v>0</v>
      </c>
      <c r="M10" s="89">
        <f>ROUND(G10*J10,2)</f>
        <v>0</v>
      </c>
      <c r="N10" s="20">
        <f>SUM(K10:M10)</f>
        <v>0</v>
      </c>
      <c r="O10" s="25"/>
      <c r="Q10" s="90">
        <f>+-1529533-194708</f>
        <v>-1724241</v>
      </c>
      <c r="R10" s="90">
        <f>+-304369.99-70364.48</f>
        <v>-374734.47</v>
      </c>
      <c r="S10" s="21"/>
      <c r="T10" s="71">
        <f>+-505447-64182</f>
        <v>-569629</v>
      </c>
      <c r="U10" s="71">
        <f>+-100581.61-23194.4</f>
        <v>-123776.01000000001</v>
      </c>
      <c r="V10" s="21"/>
      <c r="W10" s="21"/>
      <c r="X10" s="21"/>
      <c r="Y10" s="21"/>
      <c r="Z10" s="21"/>
      <c r="AA10" s="21"/>
      <c r="AB10" s="21"/>
      <c r="AC10" s="22"/>
      <c r="AD10" t="s">
        <v>21</v>
      </c>
      <c r="AG10" s="22">
        <v>0</v>
      </c>
      <c r="AK10" t="s">
        <v>25</v>
      </c>
    </row>
    <row r="11" spans="2:37" ht="15.75" x14ac:dyDescent="0.25">
      <c r="B11" s="64" t="s">
        <v>17</v>
      </c>
      <c r="C11" s="15" t="s">
        <v>26</v>
      </c>
      <c r="D11" s="16">
        <v>1</v>
      </c>
      <c r="E11" s="17" t="s">
        <v>27</v>
      </c>
      <c r="F11" s="18" t="s">
        <v>123</v>
      </c>
      <c r="G11" s="19">
        <v>2809188</v>
      </c>
      <c r="H11" s="66">
        <f t="shared" ref="H11:H13" si="0">$H$9</f>
        <v>0.27335999999999999</v>
      </c>
      <c r="I11" s="65">
        <v>0.16786000000000001</v>
      </c>
      <c r="J11" s="66">
        <f>$J$9</f>
        <v>5.3220000000000003E-2</v>
      </c>
      <c r="K11" s="20">
        <f>ROUND(H11*G11,2)</f>
        <v>767919.63</v>
      </c>
      <c r="L11" s="20">
        <f>ROUND(G11*I11,2)</f>
        <v>471550.3</v>
      </c>
      <c r="M11" s="89">
        <f>ROUND(G11*J11,2)</f>
        <v>149504.99</v>
      </c>
      <c r="N11" s="88">
        <f>SUM(K11:M11)</f>
        <v>1388974.92</v>
      </c>
      <c r="O11" s="25"/>
      <c r="Q11" s="71"/>
      <c r="R11" s="71"/>
      <c r="S11" s="71"/>
      <c r="T11" s="71"/>
      <c r="U11" s="71"/>
      <c r="V11" s="21"/>
      <c r="W11" s="21"/>
      <c r="X11" s="21"/>
      <c r="Y11" s="21"/>
      <c r="Z11" s="21"/>
      <c r="AA11" s="21"/>
      <c r="AB11" s="21"/>
      <c r="AC11" s="22"/>
      <c r="AD11" t="s">
        <v>21</v>
      </c>
      <c r="AG11" s="22">
        <v>0</v>
      </c>
      <c r="AK11" t="s">
        <v>28</v>
      </c>
    </row>
    <row r="12" spans="2:37" ht="15.75" x14ac:dyDescent="0.25">
      <c r="B12" s="64" t="s">
        <v>29</v>
      </c>
      <c r="C12" s="15" t="s">
        <v>109</v>
      </c>
      <c r="D12" s="16">
        <v>1</v>
      </c>
      <c r="E12" s="17" t="s">
        <v>27</v>
      </c>
      <c r="F12" s="18" t="s">
        <v>123</v>
      </c>
      <c r="G12" s="24">
        <v>-1072372</v>
      </c>
      <c r="H12" s="66">
        <f t="shared" si="0"/>
        <v>0.27335999999999999</v>
      </c>
      <c r="I12" s="66">
        <f>$I$11</f>
        <v>0.16786000000000001</v>
      </c>
      <c r="J12" s="66">
        <f>$J$9</f>
        <v>5.3220000000000003E-2</v>
      </c>
      <c r="K12" s="20">
        <f>ROUND(H12*G12,2)</f>
        <v>-293143.61</v>
      </c>
      <c r="L12" s="20">
        <f>ROUND(G12*I12,2)</f>
        <v>-180008.36</v>
      </c>
      <c r="M12" s="89"/>
      <c r="N12" s="88">
        <f>SUM(K12:M12)</f>
        <v>-473151.97</v>
      </c>
      <c r="O12" s="25"/>
      <c r="Q12" s="91"/>
      <c r="R12" s="91"/>
      <c r="S12" s="91"/>
      <c r="T12" s="91"/>
      <c r="U12" s="91"/>
      <c r="V12" s="26"/>
      <c r="W12" s="26"/>
      <c r="X12" s="26"/>
      <c r="Y12" s="26"/>
      <c r="Z12" s="26"/>
      <c r="AA12" s="26"/>
      <c r="AB12" s="26"/>
      <c r="AC12" s="22"/>
      <c r="AD12" t="s">
        <v>21</v>
      </c>
      <c r="AG12" s="22">
        <v>0</v>
      </c>
      <c r="AK12" t="s">
        <v>28</v>
      </c>
    </row>
    <row r="13" spans="2:37" ht="15.75" x14ac:dyDescent="0.25">
      <c r="B13" s="64" t="s">
        <v>29</v>
      </c>
      <c r="C13" s="15" t="s">
        <v>110</v>
      </c>
      <c r="D13" s="16">
        <v>1</v>
      </c>
      <c r="E13" s="17" t="s">
        <v>27</v>
      </c>
      <c r="F13" s="18" t="s">
        <v>123</v>
      </c>
      <c r="G13" s="24">
        <v>1999718</v>
      </c>
      <c r="H13" s="66">
        <f t="shared" si="0"/>
        <v>0.27335999999999999</v>
      </c>
      <c r="I13" s="66">
        <f>$I$11</f>
        <v>0.16786000000000001</v>
      </c>
      <c r="J13" s="66">
        <f>$J$9</f>
        <v>5.3220000000000003E-2</v>
      </c>
      <c r="K13" s="20">
        <f>ROUND(H13*G13,2)</f>
        <v>546642.91</v>
      </c>
      <c r="L13" s="20">
        <f>ROUND(G13*I13,2)</f>
        <v>335672.66</v>
      </c>
      <c r="M13" s="89"/>
      <c r="N13" s="88">
        <f>SUM(K13:M13)</f>
        <v>882315.57000000007</v>
      </c>
      <c r="O13" s="25"/>
      <c r="Q13" s="91"/>
      <c r="R13" s="91"/>
      <c r="S13" s="91"/>
      <c r="T13" s="91"/>
      <c r="U13" s="91"/>
      <c r="V13" s="26"/>
      <c r="W13" s="26"/>
      <c r="X13" s="26"/>
      <c r="Y13" s="26"/>
      <c r="Z13" s="26"/>
      <c r="AA13" s="26"/>
      <c r="AB13" s="26"/>
      <c r="AC13" s="22"/>
      <c r="AD13" t="s">
        <v>21</v>
      </c>
      <c r="AG13" s="22">
        <v>0</v>
      </c>
      <c r="AK13" t="s">
        <v>28</v>
      </c>
    </row>
    <row r="14" spans="2:37" ht="12" customHeight="1" x14ac:dyDescent="0.2">
      <c r="B14" s="64"/>
      <c r="D14" s="16"/>
      <c r="F14" s="18"/>
      <c r="G14" s="23"/>
      <c r="H14" s="66"/>
      <c r="I14" s="66"/>
      <c r="J14" s="66"/>
      <c r="K14" s="20"/>
      <c r="L14" s="20"/>
      <c r="M14" s="89"/>
      <c r="N14" s="20"/>
      <c r="O14" s="25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/>
      <c r="AG14" s="22"/>
    </row>
    <row r="15" spans="2:37" ht="15" x14ac:dyDescent="0.2">
      <c r="B15" s="64" t="s">
        <v>31</v>
      </c>
      <c r="C15" s="15" t="s">
        <v>32</v>
      </c>
      <c r="D15" s="16">
        <v>2</v>
      </c>
      <c r="E15" s="17" t="s">
        <v>19</v>
      </c>
      <c r="F15" s="18" t="s">
        <v>120</v>
      </c>
      <c r="G15" s="23"/>
      <c r="H15" s="66">
        <f t="shared" ref="H15:H18" si="1">$H$9</f>
        <v>0.27335999999999999</v>
      </c>
      <c r="I15" s="66">
        <f t="shared" ref="I15:I18" si="2">$I$9</f>
        <v>0.16533</v>
      </c>
      <c r="J15" s="66">
        <f t="shared" ref="J15:J18" si="3">$J$9</f>
        <v>5.3220000000000003E-2</v>
      </c>
      <c r="K15" s="20">
        <f>ROUND(H15*G15,2)</f>
        <v>0</v>
      </c>
      <c r="L15" s="20">
        <f>ROUND(G15*I15,2)</f>
        <v>0</v>
      </c>
      <c r="M15" s="89">
        <f>ROUND(G15*J15,2)</f>
        <v>0</v>
      </c>
      <c r="N15" s="20">
        <f>SUM(K15:M15)</f>
        <v>0</v>
      </c>
      <c r="O15" s="25"/>
      <c r="Q15" s="21" t="s">
        <v>20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/>
      <c r="AD15" t="s">
        <v>21</v>
      </c>
      <c r="AG15" s="22">
        <v>0</v>
      </c>
      <c r="AK15" t="s">
        <v>33</v>
      </c>
    </row>
    <row r="16" spans="2:37" ht="15.75" x14ac:dyDescent="0.25">
      <c r="B16" s="64" t="s">
        <v>31</v>
      </c>
      <c r="C16" s="15" t="s">
        <v>34</v>
      </c>
      <c r="D16" s="16">
        <v>2</v>
      </c>
      <c r="E16" s="17" t="s">
        <v>35</v>
      </c>
      <c r="F16" s="18" t="s">
        <v>124</v>
      </c>
      <c r="G16" s="19">
        <v>2784183</v>
      </c>
      <c r="H16" s="66">
        <f t="shared" si="1"/>
        <v>0.27335999999999999</v>
      </c>
      <c r="I16" s="66">
        <f t="shared" si="2"/>
        <v>0.16533</v>
      </c>
      <c r="J16" s="66">
        <f t="shared" si="3"/>
        <v>5.3220000000000003E-2</v>
      </c>
      <c r="K16" s="20">
        <f>ROUND(H16*G16,2)</f>
        <v>761084.26</v>
      </c>
      <c r="L16" s="20">
        <f>ROUND(G16*I16,2)</f>
        <v>460308.98</v>
      </c>
      <c r="M16" s="89">
        <f>ROUND(G16*J16,2)</f>
        <v>148174.22</v>
      </c>
      <c r="N16" s="92">
        <f>SUM(K16:M16)</f>
        <v>1369567.46</v>
      </c>
      <c r="O16" s="93">
        <v>-0.02</v>
      </c>
      <c r="Q16" s="21" t="s">
        <v>20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2"/>
      <c r="AD16" t="s">
        <v>21</v>
      </c>
      <c r="AG16" s="22">
        <v>0</v>
      </c>
      <c r="AK16" t="s">
        <v>36</v>
      </c>
    </row>
    <row r="17" spans="2:37" ht="15.75" x14ac:dyDescent="0.25">
      <c r="B17" s="64" t="s">
        <v>37</v>
      </c>
      <c r="C17" s="15" t="s">
        <v>111</v>
      </c>
      <c r="D17" s="16">
        <v>2</v>
      </c>
      <c r="E17" s="17" t="s">
        <v>35</v>
      </c>
      <c r="F17" s="18" t="s">
        <v>124</v>
      </c>
      <c r="G17" s="24">
        <v>-1246891</v>
      </c>
      <c r="H17" s="66">
        <f t="shared" si="1"/>
        <v>0.27335999999999999</v>
      </c>
      <c r="I17" s="66">
        <f t="shared" si="2"/>
        <v>0.16533</v>
      </c>
      <c r="J17" s="66">
        <f t="shared" si="3"/>
        <v>5.3220000000000003E-2</v>
      </c>
      <c r="K17" s="20">
        <f>ROUND(H17*G17,2)</f>
        <v>-340850.12</v>
      </c>
      <c r="L17" s="20">
        <f>ROUND(G17*I17,2)</f>
        <v>-206148.49</v>
      </c>
      <c r="M17" s="89"/>
      <c r="N17" s="92">
        <f>SUM(K17:M17)</f>
        <v>-546998.61</v>
      </c>
      <c r="O17" s="93"/>
      <c r="Q17" s="26" t="s">
        <v>30</v>
      </c>
      <c r="R17" s="26">
        <f>101807.82+3135667.8</f>
        <v>3237475.6199999996</v>
      </c>
      <c r="S17" s="26"/>
      <c r="T17" s="26"/>
      <c r="U17" s="91">
        <f>242253.38+412186.68</f>
        <v>654440.06000000006</v>
      </c>
      <c r="V17" s="26"/>
      <c r="W17" s="26"/>
      <c r="X17" s="26"/>
      <c r="Y17" s="26"/>
      <c r="Z17" s="26"/>
      <c r="AA17" s="26"/>
      <c r="AB17" s="26"/>
      <c r="AC17" s="22"/>
      <c r="AD17" t="s">
        <v>21</v>
      </c>
      <c r="AG17" s="22">
        <v>0</v>
      </c>
      <c r="AK17" t="s">
        <v>36</v>
      </c>
    </row>
    <row r="18" spans="2:37" ht="15.75" x14ac:dyDescent="0.25">
      <c r="B18" s="64" t="s">
        <v>37</v>
      </c>
      <c r="C18" s="15" t="s">
        <v>112</v>
      </c>
      <c r="D18" s="16">
        <v>2</v>
      </c>
      <c r="E18" s="17" t="s">
        <v>35</v>
      </c>
      <c r="F18" s="18" t="s">
        <v>124</v>
      </c>
      <c r="G18" s="24">
        <v>2233399</v>
      </c>
      <c r="H18" s="66">
        <f t="shared" si="1"/>
        <v>0.27335999999999999</v>
      </c>
      <c r="I18" s="66">
        <f t="shared" si="2"/>
        <v>0.16533</v>
      </c>
      <c r="J18" s="66">
        <f t="shared" si="3"/>
        <v>5.3220000000000003E-2</v>
      </c>
      <c r="K18" s="20">
        <f>ROUND(H18*G18,2)</f>
        <v>610521.94999999995</v>
      </c>
      <c r="L18" s="20">
        <f>ROUND(G18*I18,2)</f>
        <v>369247.86</v>
      </c>
      <c r="M18" s="89"/>
      <c r="N18" s="88">
        <f>SUM(K18:M18)</f>
        <v>979769.80999999994</v>
      </c>
      <c r="O18" s="25"/>
      <c r="Q18" s="26" t="s">
        <v>30</v>
      </c>
      <c r="R18" s="26">
        <v>55387.57</v>
      </c>
      <c r="S18" s="26"/>
      <c r="T18" s="26"/>
      <c r="U18" s="91">
        <v>7182.43</v>
      </c>
      <c r="V18" s="26"/>
      <c r="W18" s="26"/>
      <c r="X18" s="26"/>
      <c r="Y18" s="26"/>
      <c r="Z18" s="26"/>
      <c r="AA18" s="26"/>
      <c r="AB18" s="26"/>
      <c r="AC18" s="22"/>
      <c r="AD18" t="s">
        <v>21</v>
      </c>
      <c r="AG18" s="22">
        <v>0</v>
      </c>
      <c r="AK18" t="s">
        <v>36</v>
      </c>
    </row>
    <row r="19" spans="2:37" ht="12" customHeight="1" x14ac:dyDescent="0.2">
      <c r="B19" s="64"/>
      <c r="D19" s="16"/>
      <c r="F19" s="18"/>
      <c r="G19" s="23"/>
      <c r="H19" s="66"/>
      <c r="I19" s="66"/>
      <c r="J19" s="66"/>
      <c r="K19" s="20"/>
      <c r="L19" s="20"/>
      <c r="M19" s="89"/>
      <c r="N19" s="20"/>
      <c r="O19" s="25"/>
      <c r="Q19" s="27"/>
      <c r="R19" s="27"/>
      <c r="S19" s="27"/>
      <c r="T19" s="27"/>
      <c r="U19" s="71"/>
      <c r="V19" s="27"/>
      <c r="W19" s="27"/>
      <c r="X19" s="27"/>
      <c r="Y19" s="27"/>
      <c r="Z19" s="27"/>
      <c r="AA19" s="27"/>
      <c r="AB19" s="27"/>
      <c r="AC19" s="22"/>
      <c r="AG19" s="22"/>
    </row>
    <row r="20" spans="2:37" ht="15.75" x14ac:dyDescent="0.25">
      <c r="B20" s="64" t="s">
        <v>31</v>
      </c>
      <c r="C20" s="15" t="s">
        <v>38</v>
      </c>
      <c r="D20" s="16">
        <v>2</v>
      </c>
      <c r="E20" s="17" t="s">
        <v>39</v>
      </c>
      <c r="F20" s="18" t="s">
        <v>125</v>
      </c>
      <c r="G20" s="19">
        <v>384208</v>
      </c>
      <c r="H20" s="66">
        <f t="shared" ref="H20:H25" si="4">$H$9</f>
        <v>0.27335999999999999</v>
      </c>
      <c r="I20" s="65">
        <v>0.15284</v>
      </c>
      <c r="J20" s="66">
        <f t="shared" ref="J20:J25" si="5">$J$9</f>
        <v>5.3220000000000003E-2</v>
      </c>
      <c r="K20" s="20">
        <f t="shared" ref="K20:K25" si="6">ROUND(H20*G20,2)</f>
        <v>105027.1</v>
      </c>
      <c r="L20" s="20">
        <f t="shared" ref="L20:L25" si="7">ROUND(G20*I20,2)</f>
        <v>58722.35</v>
      </c>
      <c r="M20" s="89">
        <f t="shared" ref="M20:M25" si="8">ROUND(G20*J20,2)</f>
        <v>20447.55</v>
      </c>
      <c r="N20" s="94">
        <f t="shared" ref="N20:N25" si="9">SUM(K20:M20)</f>
        <v>184197</v>
      </c>
      <c r="O20" s="93">
        <v>2.0699999999999998</v>
      </c>
      <c r="Q20" s="21" t="s">
        <v>20</v>
      </c>
      <c r="R20" s="21">
        <v>625208.07999999996</v>
      </c>
      <c r="S20" s="21"/>
      <c r="T20" s="21"/>
      <c r="U20" s="71">
        <f>44136.69+5300</f>
        <v>49436.69</v>
      </c>
      <c r="V20" s="21"/>
      <c r="W20" s="21"/>
      <c r="X20" s="21"/>
      <c r="Y20" s="21"/>
      <c r="Z20" s="21"/>
      <c r="AA20" s="21"/>
      <c r="AB20" s="21"/>
      <c r="AC20" s="22"/>
      <c r="AD20" t="s">
        <v>21</v>
      </c>
      <c r="AG20" s="22">
        <v>0</v>
      </c>
      <c r="AK20" t="s">
        <v>40</v>
      </c>
    </row>
    <row r="21" spans="2:37" ht="15" x14ac:dyDescent="0.2">
      <c r="B21" s="64" t="s">
        <v>31</v>
      </c>
      <c r="C21" s="15" t="s">
        <v>41</v>
      </c>
      <c r="D21" s="16">
        <v>2</v>
      </c>
      <c r="E21" s="17" t="s">
        <v>42</v>
      </c>
      <c r="F21" s="18" t="s">
        <v>126</v>
      </c>
      <c r="G21" s="23"/>
      <c r="H21" s="66">
        <f t="shared" si="4"/>
        <v>0.27335999999999999</v>
      </c>
      <c r="I21" s="66">
        <f>$I$9</f>
        <v>0.16533</v>
      </c>
      <c r="J21" s="66">
        <f t="shared" si="5"/>
        <v>5.3220000000000003E-2</v>
      </c>
      <c r="K21" s="20">
        <f t="shared" si="6"/>
        <v>0</v>
      </c>
      <c r="L21" s="20">
        <f t="shared" si="7"/>
        <v>0</v>
      </c>
      <c r="M21" s="89">
        <f t="shared" si="8"/>
        <v>0</v>
      </c>
      <c r="N21" s="88">
        <f>SUM(K21:M21)</f>
        <v>0</v>
      </c>
      <c r="O21" s="25">
        <v>0.01</v>
      </c>
      <c r="Q21" s="21" t="s">
        <v>20</v>
      </c>
      <c r="R21" s="21">
        <f>+-128.04-565547.01</f>
        <v>-565675.05000000005</v>
      </c>
      <c r="S21" s="21"/>
      <c r="T21" s="21"/>
      <c r="U21" s="71">
        <f>+-193.7-79036.58</f>
        <v>-79230.28</v>
      </c>
      <c r="V21" s="21"/>
      <c r="W21" s="21"/>
      <c r="X21" s="21"/>
      <c r="Y21" s="21"/>
      <c r="Z21" s="21"/>
      <c r="AA21" s="21"/>
      <c r="AB21" s="21"/>
      <c r="AC21" s="28"/>
      <c r="AD21" t="s">
        <v>21</v>
      </c>
      <c r="AG21" s="22">
        <v>0</v>
      </c>
      <c r="AK21" t="s">
        <v>43</v>
      </c>
    </row>
    <row r="22" spans="2:37" ht="15" x14ac:dyDescent="0.2">
      <c r="B22" s="64" t="s">
        <v>31</v>
      </c>
      <c r="C22" s="15" t="s">
        <v>44</v>
      </c>
      <c r="D22" s="16">
        <v>2</v>
      </c>
      <c r="E22" s="17" t="s">
        <v>24</v>
      </c>
      <c r="F22" s="18" t="s">
        <v>122</v>
      </c>
      <c r="G22" s="23">
        <v>0</v>
      </c>
      <c r="H22" s="66">
        <f t="shared" si="4"/>
        <v>0.27335999999999999</v>
      </c>
      <c r="I22" s="66">
        <f>$I$9</f>
        <v>0.16533</v>
      </c>
      <c r="J22" s="66">
        <f t="shared" si="5"/>
        <v>5.3220000000000003E-2</v>
      </c>
      <c r="K22" s="20">
        <f t="shared" si="6"/>
        <v>0</v>
      </c>
      <c r="L22" s="20">
        <f t="shared" si="7"/>
        <v>0</v>
      </c>
      <c r="M22" s="89">
        <f t="shared" si="8"/>
        <v>0</v>
      </c>
      <c r="N22" s="20">
        <f t="shared" si="9"/>
        <v>0</v>
      </c>
      <c r="O22" s="25"/>
      <c r="Q22" s="21" t="s">
        <v>20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8"/>
      <c r="AD22" t="s">
        <v>21</v>
      </c>
      <c r="AG22" s="22">
        <v>0</v>
      </c>
      <c r="AK22" t="s">
        <v>45</v>
      </c>
    </row>
    <row r="23" spans="2:37" ht="15.75" x14ac:dyDescent="0.25">
      <c r="B23" s="64" t="s">
        <v>31</v>
      </c>
      <c r="C23" s="15" t="s">
        <v>38</v>
      </c>
      <c r="D23" s="16">
        <v>2</v>
      </c>
      <c r="E23" s="17" t="s">
        <v>39</v>
      </c>
      <c r="F23" s="18" t="s">
        <v>127</v>
      </c>
      <c r="G23" s="19">
        <v>158</v>
      </c>
      <c r="H23" s="66">
        <f t="shared" si="4"/>
        <v>0.27335999999999999</v>
      </c>
      <c r="I23" s="66">
        <f>+I25</f>
        <v>0.16533</v>
      </c>
      <c r="J23" s="66">
        <f t="shared" si="5"/>
        <v>5.3220000000000003E-2</v>
      </c>
      <c r="K23" s="20">
        <f t="shared" si="6"/>
        <v>43.19</v>
      </c>
      <c r="L23" s="20">
        <f t="shared" si="7"/>
        <v>26.12</v>
      </c>
      <c r="M23" s="89">
        <f t="shared" si="8"/>
        <v>8.41</v>
      </c>
      <c r="N23" s="92">
        <f t="shared" si="9"/>
        <v>77.72</v>
      </c>
      <c r="O23" s="93"/>
      <c r="Q23" s="21" t="s">
        <v>20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D23" t="s">
        <v>21</v>
      </c>
      <c r="AG23" s="22">
        <v>0</v>
      </c>
      <c r="AK23" t="s">
        <v>40</v>
      </c>
    </row>
    <row r="24" spans="2:37" ht="15.75" x14ac:dyDescent="0.25">
      <c r="B24" s="64" t="s">
        <v>37</v>
      </c>
      <c r="C24" s="15" t="s">
        <v>46</v>
      </c>
      <c r="D24" s="16">
        <v>2</v>
      </c>
      <c r="E24" s="17" t="s">
        <v>39</v>
      </c>
      <c r="F24" s="18" t="s">
        <v>128</v>
      </c>
      <c r="G24" s="30">
        <v>-158</v>
      </c>
      <c r="H24" s="66">
        <f t="shared" si="4"/>
        <v>0.27335999999999999</v>
      </c>
      <c r="I24" s="66">
        <f>+I25</f>
        <v>0.16533</v>
      </c>
      <c r="J24" s="66">
        <f t="shared" si="5"/>
        <v>5.3220000000000003E-2</v>
      </c>
      <c r="K24" s="20">
        <f t="shared" si="6"/>
        <v>-43.19</v>
      </c>
      <c r="L24" s="20">
        <f t="shared" si="7"/>
        <v>-26.12</v>
      </c>
      <c r="M24" s="89">
        <f t="shared" si="8"/>
        <v>-8.41</v>
      </c>
      <c r="N24" s="92">
        <f t="shared" si="9"/>
        <v>-77.72</v>
      </c>
      <c r="O24" s="93"/>
      <c r="Q24" s="27"/>
      <c r="R24" s="27">
        <v>57899.56</v>
      </c>
      <c r="S24" s="27"/>
      <c r="T24" s="27"/>
      <c r="U24" s="71">
        <v>8091.98</v>
      </c>
      <c r="V24" s="27"/>
      <c r="W24" s="27"/>
      <c r="X24" s="27"/>
      <c r="Y24" s="27"/>
      <c r="Z24" s="27"/>
      <c r="AA24" s="27"/>
      <c r="AB24" s="27"/>
      <c r="AC24" s="29"/>
      <c r="AD24" t="s">
        <v>21</v>
      </c>
      <c r="AG24" s="22">
        <v>0</v>
      </c>
      <c r="AK24" t="s">
        <v>40</v>
      </c>
    </row>
    <row r="25" spans="2:37" ht="15.75" x14ac:dyDescent="0.25">
      <c r="B25" s="64" t="s">
        <v>37</v>
      </c>
      <c r="C25" s="15" t="s">
        <v>47</v>
      </c>
      <c r="D25" s="16">
        <v>2</v>
      </c>
      <c r="E25" s="17" t="s">
        <v>39</v>
      </c>
      <c r="F25" s="18" t="s">
        <v>128</v>
      </c>
      <c r="G25" s="30">
        <v>501</v>
      </c>
      <c r="H25" s="66">
        <f t="shared" si="4"/>
        <v>0.27335999999999999</v>
      </c>
      <c r="I25" s="66">
        <f>+I18</f>
        <v>0.16533</v>
      </c>
      <c r="J25" s="66">
        <f t="shared" si="5"/>
        <v>5.3220000000000003E-2</v>
      </c>
      <c r="K25" s="20">
        <f t="shared" si="6"/>
        <v>136.94999999999999</v>
      </c>
      <c r="L25" s="20">
        <f t="shared" si="7"/>
        <v>82.83</v>
      </c>
      <c r="M25" s="89">
        <f t="shared" si="8"/>
        <v>26.66</v>
      </c>
      <c r="N25" s="88">
        <f t="shared" si="9"/>
        <v>246.43999999999997</v>
      </c>
      <c r="O25" s="25"/>
      <c r="Q25" s="27"/>
      <c r="R25" s="27">
        <v>61282.61</v>
      </c>
      <c r="S25" s="27"/>
      <c r="T25" s="27"/>
      <c r="U25" s="71">
        <v>6665.73</v>
      </c>
      <c r="V25" s="27"/>
      <c r="W25" s="27"/>
      <c r="X25" s="27"/>
      <c r="Y25" s="27"/>
      <c r="Z25" s="27"/>
      <c r="AA25" s="27"/>
      <c r="AB25" s="27"/>
      <c r="AC25" s="29"/>
      <c r="AD25" t="s">
        <v>21</v>
      </c>
      <c r="AG25" s="22">
        <v>0</v>
      </c>
      <c r="AK25" t="s">
        <v>40</v>
      </c>
    </row>
    <row r="26" spans="2:37" ht="12" customHeight="1" x14ac:dyDescent="0.2">
      <c r="B26" s="64"/>
      <c r="D26" s="16"/>
      <c r="F26" s="18"/>
      <c r="G26" s="67"/>
      <c r="H26" s="68"/>
      <c r="I26" s="66"/>
      <c r="J26" s="66"/>
      <c r="K26" s="20"/>
      <c r="L26" s="20"/>
      <c r="M26" s="89"/>
      <c r="N26" s="20"/>
      <c r="O26" s="25"/>
      <c r="Q26" s="27"/>
      <c r="R26" s="27"/>
      <c r="S26" s="27"/>
      <c r="T26" s="27"/>
      <c r="U26" s="71"/>
      <c r="V26" s="27"/>
      <c r="W26" s="27"/>
      <c r="X26" s="27"/>
      <c r="Y26" s="27"/>
      <c r="Z26" s="27"/>
      <c r="AA26" s="27"/>
      <c r="AB26" s="27"/>
      <c r="AC26" s="29"/>
      <c r="AG26" s="22"/>
    </row>
    <row r="27" spans="2:37" ht="15.75" x14ac:dyDescent="0.25">
      <c r="B27" s="64" t="s">
        <v>48</v>
      </c>
      <c r="C27" s="15" t="s">
        <v>49</v>
      </c>
      <c r="D27" s="16">
        <v>3</v>
      </c>
      <c r="E27" s="17" t="s">
        <v>50</v>
      </c>
      <c r="F27" s="18" t="s">
        <v>129</v>
      </c>
      <c r="G27" s="19">
        <v>648016</v>
      </c>
      <c r="H27" s="66">
        <f t="shared" ref="H27:H29" si="10">$H$9</f>
        <v>0.27335999999999999</v>
      </c>
      <c r="I27" s="66">
        <f>$I$20</f>
        <v>0.15284</v>
      </c>
      <c r="J27" s="66">
        <f t="shared" ref="J27:J29" si="11">$J$9</f>
        <v>5.3220000000000003E-2</v>
      </c>
      <c r="K27" s="20">
        <f>ROUND(H27*G27,2)</f>
        <v>177141.65</v>
      </c>
      <c r="L27" s="20">
        <f>ROUND(G27*I27,2)</f>
        <v>99042.77</v>
      </c>
      <c r="M27" s="89">
        <f>ROUND(G27*J27,2)</f>
        <v>34487.410000000003</v>
      </c>
      <c r="N27" s="88">
        <f>SUM(K27:M27)</f>
        <v>310671.82999999996</v>
      </c>
      <c r="O27" s="25">
        <v>-0.01</v>
      </c>
      <c r="Q27" s="21" t="s">
        <v>20</v>
      </c>
      <c r="R27" s="21">
        <v>49965.85</v>
      </c>
      <c r="S27" s="21"/>
      <c r="T27" s="21"/>
      <c r="U27" s="71">
        <v>5434.8</v>
      </c>
      <c r="V27" s="21"/>
      <c r="W27" s="21"/>
      <c r="X27" s="21"/>
      <c r="Y27" s="21"/>
      <c r="Z27" s="21"/>
      <c r="AA27" s="21"/>
      <c r="AB27" s="21"/>
      <c r="AC27" s="28"/>
      <c r="AD27" t="s">
        <v>21</v>
      </c>
      <c r="AG27" s="22">
        <v>0</v>
      </c>
      <c r="AK27" t="s">
        <v>51</v>
      </c>
    </row>
    <row r="28" spans="2:37" ht="15.75" x14ac:dyDescent="0.25">
      <c r="B28" s="64" t="s">
        <v>48</v>
      </c>
      <c r="C28" s="15" t="s">
        <v>52</v>
      </c>
      <c r="D28" s="16">
        <v>3</v>
      </c>
      <c r="E28" s="17" t="s">
        <v>39</v>
      </c>
      <c r="F28" s="18" t="s">
        <v>125</v>
      </c>
      <c r="G28" s="19">
        <v>241009</v>
      </c>
      <c r="H28" s="66">
        <f t="shared" si="10"/>
        <v>0.27335999999999999</v>
      </c>
      <c r="I28" s="66">
        <f>$I$20</f>
        <v>0.15284</v>
      </c>
      <c r="J28" s="66">
        <f t="shared" si="11"/>
        <v>5.3220000000000003E-2</v>
      </c>
      <c r="K28" s="20">
        <f>ROUND(H28*G28,2)</f>
        <v>65882.22</v>
      </c>
      <c r="L28" s="20">
        <f>ROUND(G28*I28,2)</f>
        <v>36835.82</v>
      </c>
      <c r="M28" s="89">
        <f>ROUND(G28*J28,2)</f>
        <v>12826.5</v>
      </c>
      <c r="N28" s="88">
        <f>SUM(K28:M28)</f>
        <v>115544.54000000001</v>
      </c>
      <c r="O28" s="25"/>
      <c r="Q28" s="21" t="s">
        <v>20</v>
      </c>
      <c r="R28" s="21"/>
      <c r="S28" s="21"/>
      <c r="T28" s="21"/>
      <c r="U28" s="71"/>
      <c r="V28" s="21"/>
      <c r="W28" s="21"/>
      <c r="X28" s="21"/>
      <c r="Y28" s="21"/>
      <c r="Z28" s="21"/>
      <c r="AA28" s="21"/>
      <c r="AB28" s="21"/>
      <c r="AC28" s="28"/>
      <c r="AD28" t="s">
        <v>21</v>
      </c>
      <c r="AG28" s="22">
        <v>0</v>
      </c>
      <c r="AK28" t="s">
        <v>53</v>
      </c>
    </row>
    <row r="29" spans="2:37" ht="15" x14ac:dyDescent="0.2">
      <c r="B29" s="64" t="s">
        <v>48</v>
      </c>
      <c r="C29" s="15" t="s">
        <v>54</v>
      </c>
      <c r="D29" s="16">
        <v>3</v>
      </c>
      <c r="E29" s="17" t="s">
        <v>42</v>
      </c>
      <c r="F29" s="18" t="s">
        <v>126</v>
      </c>
      <c r="G29" s="23">
        <v>0</v>
      </c>
      <c r="H29" s="66">
        <f t="shared" si="10"/>
        <v>0.27335999999999999</v>
      </c>
      <c r="I29" s="66">
        <f>$I$9</f>
        <v>0.16533</v>
      </c>
      <c r="J29" s="66">
        <f t="shared" si="11"/>
        <v>5.3220000000000003E-2</v>
      </c>
      <c r="K29" s="20">
        <f>ROUND(H29*G29,2)</f>
        <v>0</v>
      </c>
      <c r="L29" s="20">
        <f>ROUND(G29*I29,2)</f>
        <v>0</v>
      </c>
      <c r="M29" s="89">
        <f>ROUND(G29*J29,2)</f>
        <v>0</v>
      </c>
      <c r="N29" s="20">
        <f>SUM(K29:M29)</f>
        <v>0</v>
      </c>
      <c r="O29" s="25"/>
      <c r="Q29" s="27"/>
      <c r="R29" s="27"/>
      <c r="S29" s="27"/>
      <c r="T29" s="27"/>
      <c r="U29" s="71"/>
      <c r="V29" s="27"/>
      <c r="W29" s="27"/>
      <c r="X29" s="27"/>
      <c r="Y29" s="27"/>
      <c r="Z29" s="27"/>
      <c r="AA29" s="27"/>
      <c r="AB29" s="27"/>
      <c r="AC29" s="22"/>
      <c r="AD29" t="s">
        <v>21</v>
      </c>
      <c r="AG29" s="22">
        <v>0</v>
      </c>
      <c r="AK29" t="s">
        <v>55</v>
      </c>
    </row>
    <row r="30" spans="2:37" ht="12" customHeight="1" x14ac:dyDescent="0.2">
      <c r="B30" s="64"/>
      <c r="D30" s="16"/>
      <c r="F30" s="18"/>
      <c r="G30" s="23"/>
      <c r="H30" s="66"/>
      <c r="I30" s="66"/>
      <c r="J30" s="66"/>
      <c r="K30" s="20"/>
      <c r="L30" s="20"/>
      <c r="M30" s="89"/>
      <c r="N30" s="20"/>
      <c r="O30" s="25"/>
      <c r="Q30" s="27"/>
      <c r="R30" s="27">
        <v>17029.240000000002</v>
      </c>
      <c r="S30" s="27"/>
      <c r="T30" s="27"/>
      <c r="U30" s="71">
        <v>1729.72</v>
      </c>
      <c r="V30" s="27"/>
      <c r="W30" s="27"/>
      <c r="X30" s="27"/>
      <c r="Y30" s="27"/>
      <c r="Z30" s="27"/>
      <c r="AA30" s="27"/>
      <c r="AB30" s="27"/>
      <c r="AC30" s="22"/>
      <c r="AG30" s="22"/>
    </row>
    <row r="31" spans="2:37" ht="15.75" x14ac:dyDescent="0.25">
      <c r="B31" s="64" t="s">
        <v>57</v>
      </c>
      <c r="C31" s="15" t="s">
        <v>56</v>
      </c>
      <c r="D31" s="16">
        <v>3</v>
      </c>
      <c r="E31" s="17" t="s">
        <v>50</v>
      </c>
      <c r="F31" s="18" t="s">
        <v>130</v>
      </c>
      <c r="G31" s="19">
        <v>359</v>
      </c>
      <c r="H31" s="66">
        <f t="shared" ref="H31:H33" si="12">$H$9</f>
        <v>0.27335999999999999</v>
      </c>
      <c r="I31" s="66">
        <f>$I$20</f>
        <v>0.15284</v>
      </c>
      <c r="J31" s="66">
        <f t="shared" ref="J31:J33" si="13">$J$9</f>
        <v>5.3220000000000003E-2</v>
      </c>
      <c r="K31" s="20">
        <f t="shared" ref="K31:K33" si="14">ROUND(H31*G31,2)</f>
        <v>98.14</v>
      </c>
      <c r="L31" s="20">
        <f t="shared" ref="L31:L33" si="15">ROUND(G31*I31,2)</f>
        <v>54.87</v>
      </c>
      <c r="M31" s="89">
        <f t="shared" ref="M31:M33" si="16">ROUND(G31*J31,2)</f>
        <v>19.11</v>
      </c>
      <c r="N31" s="20">
        <f t="shared" ref="N31:N33" si="17">SUM(K31:M31)</f>
        <v>172.12</v>
      </c>
      <c r="O31" s="25"/>
      <c r="Q31" s="21" t="s">
        <v>20</v>
      </c>
      <c r="R31" s="21"/>
      <c r="S31" s="21"/>
      <c r="T31" s="21"/>
      <c r="U31" s="71"/>
      <c r="V31" s="21"/>
      <c r="W31" s="21"/>
      <c r="X31" s="21"/>
      <c r="Y31" s="21"/>
      <c r="Z31" s="21"/>
      <c r="AA31" s="21"/>
      <c r="AB31" s="21"/>
      <c r="AC31" s="28"/>
      <c r="AD31" t="s">
        <v>21</v>
      </c>
      <c r="AG31" s="22">
        <v>0</v>
      </c>
      <c r="AK31" t="s">
        <v>51</v>
      </c>
    </row>
    <row r="32" spans="2:37" ht="15.75" x14ac:dyDescent="0.25">
      <c r="B32" s="64" t="s">
        <v>62</v>
      </c>
      <c r="C32" s="15" t="s">
        <v>46</v>
      </c>
      <c r="D32" s="16">
        <v>3</v>
      </c>
      <c r="E32" s="17" t="s">
        <v>50</v>
      </c>
      <c r="F32" s="18" t="s">
        <v>130</v>
      </c>
      <c r="G32" s="30">
        <v>-359</v>
      </c>
      <c r="H32" s="66">
        <f t="shared" si="12"/>
        <v>0.27335999999999999</v>
      </c>
      <c r="I32" s="66">
        <f>$I$20</f>
        <v>0.15284</v>
      </c>
      <c r="J32" s="66">
        <f t="shared" si="13"/>
        <v>5.3220000000000003E-2</v>
      </c>
      <c r="K32" s="20">
        <f t="shared" si="14"/>
        <v>-98.14</v>
      </c>
      <c r="L32" s="20">
        <f t="shared" si="15"/>
        <v>-54.87</v>
      </c>
      <c r="M32" s="89">
        <f t="shared" si="16"/>
        <v>-19.11</v>
      </c>
      <c r="N32" s="20">
        <f t="shared" si="17"/>
        <v>-172.12</v>
      </c>
      <c r="O32" s="25"/>
      <c r="Q32" s="27"/>
      <c r="R32" s="27">
        <v>128505.68</v>
      </c>
      <c r="S32" s="27"/>
      <c r="T32" s="27"/>
      <c r="U32" s="71">
        <v>17959.87</v>
      </c>
      <c r="V32" s="27"/>
      <c r="W32" s="27"/>
      <c r="X32" s="27"/>
      <c r="Y32" s="27"/>
      <c r="Z32" s="27"/>
      <c r="AA32" s="27"/>
      <c r="AB32" s="27"/>
      <c r="AC32" s="29"/>
      <c r="AD32" t="s">
        <v>21</v>
      </c>
      <c r="AG32" s="22">
        <v>0</v>
      </c>
      <c r="AK32" t="s">
        <v>51</v>
      </c>
    </row>
    <row r="33" spans="2:37" ht="15.75" x14ac:dyDescent="0.25">
      <c r="B33" s="64" t="s">
        <v>62</v>
      </c>
      <c r="C33" s="15" t="s">
        <v>47</v>
      </c>
      <c r="D33" s="16">
        <v>3</v>
      </c>
      <c r="E33" s="17" t="s">
        <v>50</v>
      </c>
      <c r="F33" s="18" t="s">
        <v>130</v>
      </c>
      <c r="G33" s="30">
        <v>188</v>
      </c>
      <c r="H33" s="66">
        <f t="shared" si="12"/>
        <v>0.27335999999999999</v>
      </c>
      <c r="I33" s="66">
        <f>$I$20</f>
        <v>0.15284</v>
      </c>
      <c r="J33" s="66">
        <f t="shared" si="13"/>
        <v>5.3220000000000003E-2</v>
      </c>
      <c r="K33" s="20">
        <f t="shared" si="14"/>
        <v>51.39</v>
      </c>
      <c r="L33" s="20">
        <f t="shared" si="15"/>
        <v>28.73</v>
      </c>
      <c r="M33" s="89">
        <f t="shared" si="16"/>
        <v>10.01</v>
      </c>
      <c r="N33" s="20">
        <f t="shared" si="17"/>
        <v>90.13000000000001</v>
      </c>
      <c r="O33" s="20"/>
      <c r="Q33" s="27"/>
      <c r="R33" s="27">
        <v>97.86</v>
      </c>
      <c r="S33" s="27"/>
      <c r="T33" s="27"/>
      <c r="U33" s="71">
        <v>10.64</v>
      </c>
      <c r="V33" s="27"/>
      <c r="W33" s="27"/>
      <c r="X33" s="27"/>
      <c r="Y33" s="27"/>
      <c r="Z33" s="27"/>
      <c r="AA33" s="27"/>
      <c r="AB33" s="27"/>
      <c r="AC33" s="29"/>
      <c r="AD33" t="s">
        <v>21</v>
      </c>
      <c r="AG33" s="22">
        <v>0</v>
      </c>
      <c r="AK33" t="s">
        <v>51</v>
      </c>
    </row>
    <row r="34" spans="2:37" ht="12" customHeight="1" x14ac:dyDescent="0.2">
      <c r="B34" s="64"/>
      <c r="D34" s="16"/>
      <c r="F34" s="18"/>
      <c r="G34" s="23"/>
      <c r="H34" s="66"/>
      <c r="I34" s="66"/>
      <c r="J34" s="66"/>
      <c r="K34" s="20"/>
      <c r="L34" s="20"/>
      <c r="M34" s="89"/>
      <c r="N34" s="20"/>
      <c r="O34" s="20"/>
      <c r="Q34" s="27"/>
      <c r="R34" s="27"/>
      <c r="S34" s="27"/>
      <c r="T34" s="27"/>
      <c r="U34" s="71"/>
      <c r="V34" s="27"/>
      <c r="W34" s="27"/>
      <c r="X34" s="27"/>
      <c r="Y34" s="27"/>
      <c r="Z34" s="27"/>
      <c r="AA34" s="27"/>
      <c r="AB34" s="27"/>
      <c r="AC34" s="28"/>
      <c r="AG34" s="22"/>
    </row>
    <row r="35" spans="2:37" ht="15" x14ac:dyDescent="0.2">
      <c r="B35" s="64" t="s">
        <v>57</v>
      </c>
      <c r="C35" s="15" t="s">
        <v>58</v>
      </c>
      <c r="D35" s="16" t="s">
        <v>59</v>
      </c>
      <c r="E35" s="17" t="s">
        <v>60</v>
      </c>
      <c r="F35" s="18" t="s">
        <v>131</v>
      </c>
      <c r="G35" s="23">
        <v>0</v>
      </c>
      <c r="H35" s="66">
        <f t="shared" ref="H35:H37" si="18">$H$9</f>
        <v>0.27335999999999999</v>
      </c>
      <c r="I35" s="65">
        <v>0.1404</v>
      </c>
      <c r="J35" s="66">
        <f t="shared" ref="J35:J37" si="19">$J$9</f>
        <v>5.3220000000000003E-2</v>
      </c>
      <c r="K35" s="20">
        <f>ROUND(H35*G35,2)</f>
        <v>0</v>
      </c>
      <c r="L35" s="20">
        <f>ROUND(G35*I35,2)</f>
        <v>0</v>
      </c>
      <c r="M35" s="89">
        <f>ROUND(G35*J35,2)</f>
        <v>0</v>
      </c>
      <c r="N35" s="94">
        <f>SUM(K35:M35)</f>
        <v>0</v>
      </c>
      <c r="Q35" s="27"/>
      <c r="R35" s="27"/>
      <c r="S35" s="27"/>
      <c r="T35" s="27"/>
      <c r="U35" s="71"/>
      <c r="V35" s="27"/>
      <c r="W35" s="27"/>
      <c r="X35" s="27"/>
      <c r="Y35" s="27"/>
      <c r="Z35" s="27"/>
      <c r="AA35" s="27"/>
      <c r="AB35" s="27"/>
      <c r="AC35" s="22"/>
      <c r="AD35" t="s">
        <v>21</v>
      </c>
      <c r="AG35" s="22">
        <v>0</v>
      </c>
      <c r="AK35" t="s">
        <v>61</v>
      </c>
    </row>
    <row r="36" spans="2:37" ht="15" x14ac:dyDescent="0.2">
      <c r="B36" s="64" t="s">
        <v>62</v>
      </c>
      <c r="C36" s="15" t="s">
        <v>46</v>
      </c>
      <c r="D36" s="16">
        <v>4</v>
      </c>
      <c r="E36" s="17" t="s">
        <v>60</v>
      </c>
      <c r="F36" s="18" t="s">
        <v>131</v>
      </c>
      <c r="G36" s="69">
        <v>0</v>
      </c>
      <c r="H36" s="66">
        <f t="shared" si="18"/>
        <v>0.27335999999999999</v>
      </c>
      <c r="I36" s="66">
        <f>$I$35</f>
        <v>0.1404</v>
      </c>
      <c r="J36" s="66">
        <f t="shared" si="19"/>
        <v>5.3220000000000003E-2</v>
      </c>
      <c r="K36" s="20">
        <f>ROUND(H36*G36,2)</f>
        <v>0</v>
      </c>
      <c r="L36" s="20">
        <f>ROUND(G36*I36,2)</f>
        <v>0</v>
      </c>
      <c r="M36" s="89">
        <f>ROUND(G36*J36,2)</f>
        <v>0</v>
      </c>
      <c r="N36" s="88">
        <f>SUM(K36:M36)</f>
        <v>0</v>
      </c>
      <c r="O36" s="20">
        <f>-N36-80.06</f>
        <v>-80.06</v>
      </c>
      <c r="Q36" s="27"/>
      <c r="R36" s="27">
        <v>18307.25</v>
      </c>
      <c r="S36" s="27"/>
      <c r="T36" s="27"/>
      <c r="U36" s="71">
        <v>1859.59</v>
      </c>
      <c r="V36" s="27"/>
      <c r="W36" s="27"/>
      <c r="X36" s="27"/>
      <c r="Y36" s="27"/>
      <c r="Z36" s="27"/>
      <c r="AA36" s="27"/>
      <c r="AB36" s="27"/>
      <c r="AC36" s="29"/>
      <c r="AD36" t="s">
        <v>21</v>
      </c>
      <c r="AG36" s="22">
        <v>0</v>
      </c>
      <c r="AK36" t="s">
        <v>63</v>
      </c>
    </row>
    <row r="37" spans="2:37" ht="15" x14ac:dyDescent="0.2">
      <c r="B37" s="64" t="s">
        <v>62</v>
      </c>
      <c r="C37" s="15" t="s">
        <v>47</v>
      </c>
      <c r="D37" s="16">
        <v>4</v>
      </c>
      <c r="E37" s="17" t="s">
        <v>60</v>
      </c>
      <c r="F37" s="18" t="s">
        <v>131</v>
      </c>
      <c r="G37" s="69">
        <v>0</v>
      </c>
      <c r="H37" s="66">
        <f t="shared" si="18"/>
        <v>0.27335999999999999</v>
      </c>
      <c r="I37" s="66">
        <f>$I$35</f>
        <v>0.1404</v>
      </c>
      <c r="J37" s="66">
        <f t="shared" si="19"/>
        <v>5.3220000000000003E-2</v>
      </c>
      <c r="K37" s="20">
        <f>ROUND(H37*G37,2)</f>
        <v>0</v>
      </c>
      <c r="L37" s="20">
        <f>ROUND(G37*I37,2)</f>
        <v>0</v>
      </c>
      <c r="M37" s="89">
        <f>ROUND(G37*J37,2)</f>
        <v>0</v>
      </c>
      <c r="N37" s="20">
        <f>SUM(K37:M37)</f>
        <v>0</v>
      </c>
      <c r="O37" s="20"/>
      <c r="Q37" s="27"/>
      <c r="R37" s="27"/>
      <c r="S37" s="27"/>
      <c r="T37" s="27"/>
      <c r="U37" s="71"/>
      <c r="V37" s="27"/>
      <c r="W37" s="27"/>
      <c r="X37" s="27"/>
      <c r="Y37" s="27"/>
      <c r="Z37" s="27"/>
      <c r="AA37" s="27"/>
      <c r="AB37" s="27"/>
      <c r="AC37" s="29"/>
      <c r="AD37" t="s">
        <v>21</v>
      </c>
      <c r="AG37" s="22">
        <v>0</v>
      </c>
      <c r="AK37" t="s">
        <v>63</v>
      </c>
    </row>
    <row r="38" spans="2:37" ht="12" customHeight="1" x14ac:dyDescent="0.2">
      <c r="B38" s="64"/>
      <c r="D38" s="16"/>
      <c r="F38" s="18"/>
      <c r="G38" s="23"/>
      <c r="H38" s="66"/>
      <c r="I38" s="66"/>
      <c r="J38" s="66"/>
      <c r="M38" s="89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2"/>
      <c r="AG38" s="22"/>
    </row>
    <row r="39" spans="2:37" ht="15.75" x14ac:dyDescent="0.25">
      <c r="B39" s="64" t="s">
        <v>64</v>
      </c>
      <c r="C39" s="15" t="s">
        <v>65</v>
      </c>
      <c r="D39" s="16" t="s">
        <v>66</v>
      </c>
      <c r="E39" s="17" t="s">
        <v>60</v>
      </c>
      <c r="F39" s="18" t="s">
        <v>131</v>
      </c>
      <c r="G39" s="19">
        <v>93391</v>
      </c>
      <c r="H39" s="66">
        <f t="shared" ref="H39:H44" si="20">$H$9</f>
        <v>0.27335999999999999</v>
      </c>
      <c r="I39" s="66">
        <f t="shared" ref="I39:I44" si="21">$I$35</f>
        <v>0.1404</v>
      </c>
      <c r="J39" s="66">
        <f t="shared" ref="J39:J44" si="22">$J$9</f>
        <v>5.3220000000000003E-2</v>
      </c>
      <c r="K39" s="20">
        <f t="shared" ref="K39:K44" si="23">ROUND(H39*G39,2)</f>
        <v>25529.360000000001</v>
      </c>
      <c r="L39" s="20">
        <f t="shared" ref="L39:L44" si="24">ROUND(G39*I39,2)</f>
        <v>13112.1</v>
      </c>
      <c r="M39" s="89">
        <f t="shared" ref="M39:M43" si="25">ROUND(G39*J39,2)</f>
        <v>4970.2700000000004</v>
      </c>
      <c r="N39" s="88">
        <f>SUM(K39:M39)</f>
        <v>43611.729999999996</v>
      </c>
      <c r="O39" s="20">
        <v>0.01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2"/>
      <c r="AD39" t="s">
        <v>21</v>
      </c>
      <c r="AG39" s="22">
        <v>0</v>
      </c>
      <c r="AK39" t="s">
        <v>63</v>
      </c>
    </row>
    <row r="40" spans="2:37" ht="15.75" x14ac:dyDescent="0.25">
      <c r="B40" s="64" t="s">
        <v>64</v>
      </c>
      <c r="C40" s="15" t="s">
        <v>46</v>
      </c>
      <c r="D40" s="16">
        <v>5</v>
      </c>
      <c r="E40" s="17" t="s">
        <v>60</v>
      </c>
      <c r="F40" s="18" t="s">
        <v>131</v>
      </c>
      <c r="G40" s="30">
        <v>-93391</v>
      </c>
      <c r="H40" s="66">
        <f t="shared" si="20"/>
        <v>0.27335999999999999</v>
      </c>
      <c r="I40" s="66">
        <f t="shared" si="21"/>
        <v>0.1404</v>
      </c>
      <c r="J40" s="66">
        <f t="shared" si="22"/>
        <v>5.3220000000000003E-2</v>
      </c>
      <c r="K40" s="20">
        <f t="shared" si="23"/>
        <v>-25529.360000000001</v>
      </c>
      <c r="L40" s="20">
        <f t="shared" si="24"/>
        <v>-13112.1</v>
      </c>
      <c r="M40" s="89">
        <f t="shared" si="25"/>
        <v>-4970.2700000000004</v>
      </c>
      <c r="N40" s="88">
        <f t="shared" ref="N40:N44" si="26">SUM(K40:M40)</f>
        <v>-43611.729999999996</v>
      </c>
      <c r="O40" s="20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9"/>
      <c r="AD40" t="s">
        <v>21</v>
      </c>
      <c r="AG40" s="22">
        <v>0</v>
      </c>
      <c r="AK40" t="s">
        <v>61</v>
      </c>
    </row>
    <row r="41" spans="2:37" ht="15.75" x14ac:dyDescent="0.25">
      <c r="B41" s="64" t="s">
        <v>64</v>
      </c>
      <c r="C41" s="15" t="s">
        <v>67</v>
      </c>
      <c r="D41" s="16">
        <v>5</v>
      </c>
      <c r="E41" s="17" t="s">
        <v>60</v>
      </c>
      <c r="F41" s="18" t="s">
        <v>131</v>
      </c>
      <c r="G41" s="30">
        <v>118645</v>
      </c>
      <c r="H41" s="66">
        <f t="shared" si="20"/>
        <v>0.27335999999999999</v>
      </c>
      <c r="I41" s="66">
        <f t="shared" si="21"/>
        <v>0.1404</v>
      </c>
      <c r="J41" s="66">
        <f t="shared" si="22"/>
        <v>5.3220000000000003E-2</v>
      </c>
      <c r="K41" s="20">
        <f t="shared" si="23"/>
        <v>32432.799999999999</v>
      </c>
      <c r="L41" s="20">
        <f t="shared" si="24"/>
        <v>16657.759999999998</v>
      </c>
      <c r="M41" s="89">
        <f t="shared" si="25"/>
        <v>6314.29</v>
      </c>
      <c r="N41" s="88">
        <f t="shared" si="26"/>
        <v>55404.85</v>
      </c>
      <c r="O41" s="20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9"/>
      <c r="AD41" t="s">
        <v>21</v>
      </c>
      <c r="AG41" s="22">
        <v>0</v>
      </c>
      <c r="AK41" t="s">
        <v>61</v>
      </c>
    </row>
    <row r="42" spans="2:37" ht="15" x14ac:dyDescent="0.2">
      <c r="B42" s="64" t="s">
        <v>68</v>
      </c>
      <c r="C42" s="15" t="s">
        <v>69</v>
      </c>
      <c r="D42" s="16">
        <v>5</v>
      </c>
      <c r="E42" s="17" t="s">
        <v>70</v>
      </c>
      <c r="F42" s="18" t="s">
        <v>132</v>
      </c>
      <c r="G42" s="23"/>
      <c r="H42" s="66">
        <f t="shared" si="20"/>
        <v>0.27335999999999999</v>
      </c>
      <c r="I42" s="66">
        <f t="shared" si="21"/>
        <v>0.1404</v>
      </c>
      <c r="J42" s="66">
        <f t="shared" si="22"/>
        <v>5.3220000000000003E-2</v>
      </c>
      <c r="K42" s="20">
        <f t="shared" si="23"/>
        <v>0</v>
      </c>
      <c r="L42" s="20">
        <f t="shared" si="24"/>
        <v>0</v>
      </c>
      <c r="M42" s="89">
        <f t="shared" si="25"/>
        <v>0</v>
      </c>
      <c r="N42" s="88">
        <f t="shared" si="26"/>
        <v>0</v>
      </c>
      <c r="O42" s="20">
        <v>-0.01</v>
      </c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2"/>
      <c r="AD42" t="s">
        <v>21</v>
      </c>
      <c r="AG42" s="22">
        <v>0</v>
      </c>
      <c r="AK42" t="s">
        <v>71</v>
      </c>
    </row>
    <row r="43" spans="2:37" ht="15" x14ac:dyDescent="0.2">
      <c r="B43" s="64" t="s">
        <v>64</v>
      </c>
      <c r="C43" s="15" t="s">
        <v>46</v>
      </c>
      <c r="D43" s="16">
        <v>5</v>
      </c>
      <c r="E43" s="17" t="s">
        <v>70</v>
      </c>
      <c r="F43" s="18" t="s">
        <v>132</v>
      </c>
      <c r="G43" s="69">
        <v>0</v>
      </c>
      <c r="H43" s="66">
        <f t="shared" si="20"/>
        <v>0.27335999999999999</v>
      </c>
      <c r="I43" s="66">
        <f t="shared" si="21"/>
        <v>0.1404</v>
      </c>
      <c r="J43" s="66">
        <f t="shared" si="22"/>
        <v>5.3220000000000003E-2</v>
      </c>
      <c r="K43" s="20">
        <f>ROUND(H43*G43,2)</f>
        <v>0</v>
      </c>
      <c r="L43" s="20">
        <f t="shared" si="24"/>
        <v>0</v>
      </c>
      <c r="M43" s="89">
        <f t="shared" si="25"/>
        <v>0</v>
      </c>
      <c r="N43" s="88">
        <f t="shared" si="26"/>
        <v>0</v>
      </c>
      <c r="O43" s="20">
        <v>-0.01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9"/>
      <c r="AD43" t="s">
        <v>21</v>
      </c>
      <c r="AG43" s="22">
        <v>0</v>
      </c>
      <c r="AK43" t="s">
        <v>61</v>
      </c>
    </row>
    <row r="44" spans="2:37" ht="15" x14ac:dyDescent="0.2">
      <c r="B44" s="64" t="s">
        <v>64</v>
      </c>
      <c r="C44" s="15" t="s">
        <v>67</v>
      </c>
      <c r="D44" s="16">
        <v>5</v>
      </c>
      <c r="E44" s="17" t="s">
        <v>70</v>
      </c>
      <c r="F44" s="18" t="s">
        <v>132</v>
      </c>
      <c r="G44" s="69">
        <v>0</v>
      </c>
      <c r="H44" s="66">
        <f t="shared" si="20"/>
        <v>0.27335999999999999</v>
      </c>
      <c r="I44" s="66">
        <f t="shared" si="21"/>
        <v>0.1404</v>
      </c>
      <c r="J44" s="66">
        <f t="shared" si="22"/>
        <v>5.3220000000000003E-2</v>
      </c>
      <c r="K44" s="20">
        <f t="shared" si="23"/>
        <v>0</v>
      </c>
      <c r="L44" s="20">
        <f t="shared" si="24"/>
        <v>0</v>
      </c>
      <c r="M44" s="89">
        <f>ROUND(G44*J44,2)</f>
        <v>0</v>
      </c>
      <c r="N44" s="88">
        <f t="shared" si="26"/>
        <v>0</v>
      </c>
      <c r="O44" s="20">
        <v>0.01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9"/>
      <c r="AD44" t="s">
        <v>21</v>
      </c>
      <c r="AG44" s="22">
        <v>0</v>
      </c>
      <c r="AK44" t="s">
        <v>61</v>
      </c>
    </row>
    <row r="45" spans="2:37" ht="12" customHeight="1" x14ac:dyDescent="0.2">
      <c r="B45" s="64"/>
      <c r="D45" s="16"/>
      <c r="F45" s="18"/>
      <c r="G45" s="32"/>
      <c r="H45" s="66"/>
      <c r="I45" s="66"/>
      <c r="J45" s="66"/>
      <c r="K45" s="20"/>
      <c r="L45" s="20"/>
      <c r="M45" s="89"/>
      <c r="N45" s="20"/>
      <c r="O45" s="20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9"/>
      <c r="AG45" s="22"/>
    </row>
    <row r="46" spans="2:37" ht="14.25" x14ac:dyDescent="0.2">
      <c r="B46" s="64" t="s">
        <v>68</v>
      </c>
      <c r="C46" s="15" t="s">
        <v>72</v>
      </c>
      <c r="D46" s="16">
        <v>6</v>
      </c>
      <c r="E46" s="17" t="s">
        <v>60</v>
      </c>
      <c r="F46" s="18"/>
      <c r="G46" s="33">
        <f>'[3]Core Billed Therms '!$J$88</f>
        <v>0</v>
      </c>
      <c r="H46" s="66">
        <f>$H$9</f>
        <v>0.27335999999999999</v>
      </c>
      <c r="I46" s="66">
        <f>$I$35</f>
        <v>0.1404</v>
      </c>
      <c r="J46" s="66">
        <f>$J$9</f>
        <v>5.3220000000000003E-2</v>
      </c>
      <c r="K46" s="20">
        <f>ROUND(H46*G46,2)</f>
        <v>0</v>
      </c>
      <c r="L46" s="20">
        <f>ROUND(G46*I46,2)</f>
        <v>0</v>
      </c>
      <c r="M46" s="89">
        <f>ROUND(G46*J46,2)</f>
        <v>0</v>
      </c>
      <c r="N46" s="20">
        <f>SUM(K46:M46)</f>
        <v>0</v>
      </c>
      <c r="O46" s="20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2"/>
      <c r="AD46" t="s">
        <v>21</v>
      </c>
      <c r="AG46" s="22">
        <v>0</v>
      </c>
      <c r="AK46" t="s">
        <v>73</v>
      </c>
    </row>
    <row r="47" spans="2:37" ht="12" customHeight="1" x14ac:dyDescent="0.2">
      <c r="B47" s="64"/>
      <c r="D47" s="16"/>
      <c r="G47" s="33"/>
      <c r="J47" s="34"/>
      <c r="K47" s="20"/>
      <c r="L47" s="20"/>
      <c r="M47" s="89"/>
      <c r="N47" s="20"/>
      <c r="O47" s="20"/>
      <c r="AC47" s="22"/>
      <c r="AG47" s="22"/>
    </row>
    <row r="48" spans="2:37" ht="15" x14ac:dyDescent="0.25">
      <c r="B48" s="70"/>
      <c r="D48" s="35"/>
      <c r="E48" s="36"/>
      <c r="F48" s="17" t="s">
        <v>133</v>
      </c>
      <c r="G48" s="79">
        <f>SUM(G9:G47)</f>
        <v>8899792</v>
      </c>
      <c r="H48" s="37" t="s">
        <v>74</v>
      </c>
      <c r="K48" s="80">
        <f>SUM(K9:K47)</f>
        <v>2432847.13</v>
      </c>
      <c r="L48" s="81">
        <f>SUM(L9:L47)</f>
        <v>1461993.2100000004</v>
      </c>
      <c r="M48" s="38">
        <f>SUM(M9:M47)</f>
        <v>371791.62999999995</v>
      </c>
      <c r="N48" s="38">
        <f>SUM(N9:N47)</f>
        <v>4266631.97</v>
      </c>
      <c r="O48" s="95">
        <v>0.03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22"/>
      <c r="AG48" s="22"/>
    </row>
    <row r="49" spans="3:37" ht="14.25" x14ac:dyDescent="0.2">
      <c r="C49" s="14"/>
      <c r="D49" s="35"/>
      <c r="F49" s="17" t="s">
        <v>113</v>
      </c>
      <c r="G49" s="79"/>
      <c r="K49" s="38" t="s">
        <v>75</v>
      </c>
      <c r="L49" s="38" t="s">
        <v>75</v>
      </c>
      <c r="M49" s="38"/>
      <c r="N49" s="38"/>
      <c r="O49" s="38"/>
      <c r="Q49" s="38">
        <f>-N48</f>
        <v>-4266631.97</v>
      </c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14" t="s">
        <v>76</v>
      </c>
      <c r="AD49" t="s">
        <v>21</v>
      </c>
      <c r="AG49" s="22">
        <v>0</v>
      </c>
      <c r="AK49" t="s">
        <v>77</v>
      </c>
    </row>
    <row r="50" spans="3:37" ht="15" x14ac:dyDescent="0.25">
      <c r="F50" s="1" t="s">
        <v>114</v>
      </c>
      <c r="G50" s="39">
        <f>+G48+G49</f>
        <v>8899792</v>
      </c>
      <c r="H50" s="40"/>
      <c r="K50" s="38">
        <f>SUM(K48:K49)</f>
        <v>2432847.13</v>
      </c>
      <c r="L50" s="38">
        <f>SUM(L48:L49)</f>
        <v>1461993.2100000004</v>
      </c>
      <c r="M50" s="38">
        <f>SUM(M48:M49)</f>
        <v>371791.62999999995</v>
      </c>
      <c r="N50" s="38">
        <f>SUM(N48:N49)</f>
        <v>4266631.97</v>
      </c>
      <c r="O50" s="38"/>
      <c r="P50" s="20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E50" s="22"/>
    </row>
    <row r="51" spans="3:37" ht="21.75" customHeight="1" x14ac:dyDescent="0.25">
      <c r="G51" s="42" t="s">
        <v>78</v>
      </c>
      <c r="K51" s="38"/>
      <c r="L51" s="43"/>
      <c r="M51" s="38"/>
      <c r="N51" s="38"/>
      <c r="O51" s="38"/>
    </row>
    <row r="52" spans="3:37" ht="21.75" customHeight="1" x14ac:dyDescent="0.2">
      <c r="G52" s="44" t="s">
        <v>79</v>
      </c>
      <c r="H52" s="45"/>
      <c r="L52" s="46"/>
      <c r="M52" s="20"/>
      <c r="N52" s="20"/>
      <c r="O52" s="20"/>
    </row>
    <row r="53" spans="3:37" x14ac:dyDescent="0.2">
      <c r="H53" s="45"/>
      <c r="L53" s="48"/>
      <c r="N53" s="43">
        <v>7</v>
      </c>
      <c r="O53" s="43"/>
    </row>
    <row r="54" spans="3:37" x14ac:dyDescent="0.2">
      <c r="F54" s="17" t="s">
        <v>80</v>
      </c>
      <c r="L54" s="49"/>
      <c r="N54" s="50"/>
      <c r="O54" s="50"/>
    </row>
    <row r="55" spans="3:37" x14ac:dyDescent="0.2">
      <c r="L55" s="49"/>
      <c r="M55" s="51"/>
    </row>
    <row r="56" spans="3:37" x14ac:dyDescent="0.2">
      <c r="G56" s="47">
        <f>+G42+G39+G31+G28+G27+G23+G21+G20+G16+G11+G9</f>
        <v>6960512</v>
      </c>
      <c r="L56" s="49"/>
      <c r="M56" s="51"/>
      <c r="N56" s="52"/>
      <c r="O56" s="52"/>
    </row>
    <row r="57" spans="3:37" x14ac:dyDescent="0.2">
      <c r="G57" s="47">
        <f>+G44+G41+G33+G25</f>
        <v>119334</v>
      </c>
      <c r="L57" s="49"/>
      <c r="M57" s="51"/>
      <c r="N57" s="53"/>
      <c r="O57" s="53"/>
    </row>
    <row r="58" spans="3:37" x14ac:dyDescent="0.2">
      <c r="G58" s="47">
        <f>+G43+G40+G32+G24</f>
        <v>-93908</v>
      </c>
      <c r="L58" s="49"/>
      <c r="M58" s="51"/>
      <c r="N58" s="53"/>
      <c r="O58" s="53"/>
    </row>
    <row r="59" spans="3:37" x14ac:dyDescent="0.2">
      <c r="G59" s="47">
        <f>+G17+G12</f>
        <v>-2319263</v>
      </c>
      <c r="L59" s="49"/>
      <c r="M59" s="53"/>
      <c r="N59" s="51"/>
      <c r="O59" s="51"/>
    </row>
    <row r="60" spans="3:37" x14ac:dyDescent="0.2">
      <c r="L60" s="54"/>
      <c r="N60" s="55"/>
      <c r="O60" s="55"/>
    </row>
    <row r="61" spans="3:37" x14ac:dyDescent="0.2">
      <c r="L61" s="48"/>
      <c r="N61" s="56"/>
      <c r="O61" s="56"/>
    </row>
    <row r="73" spans="7:7" x14ac:dyDescent="0.2">
      <c r="G73" s="47" t="e">
        <f>+G50+#REF!</f>
        <v>#REF!</v>
      </c>
    </row>
    <row r="108" spans="2:28" x14ac:dyDescent="0.2">
      <c r="B108" s="57"/>
      <c r="D108" s="35"/>
    </row>
    <row r="109" spans="2:28" x14ac:dyDescent="0.2">
      <c r="B109" s="57"/>
      <c r="D109" s="35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</row>
    <row r="110" spans="2:28" x14ac:dyDescent="0.2"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</row>
    <row r="111" spans="2:28" x14ac:dyDescent="0.2">
      <c r="D111" s="35"/>
    </row>
    <row r="112" spans="2:28" x14ac:dyDescent="0.2">
      <c r="D112" s="3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8"/>
  <sheetViews>
    <sheetView showGridLines="0" tabSelected="1" view="pageBreakPreview" topLeftCell="A44" zoomScale="90" zoomScaleNormal="100" zoomScaleSheetLayoutView="90" workbookViewId="0">
      <selection activeCell="J69" sqref="J69"/>
    </sheetView>
  </sheetViews>
  <sheetFormatPr defaultRowHeight="12.75" x14ac:dyDescent="0.2"/>
  <cols>
    <col min="1" max="1" width="1.7109375" style="257" customWidth="1"/>
    <col min="2" max="2" width="9" style="257" customWidth="1"/>
    <col min="3" max="3" width="30" style="257" customWidth="1"/>
    <col min="4" max="4" width="20.42578125" style="257" customWidth="1"/>
    <col min="5" max="5" width="19" style="257" customWidth="1"/>
    <col min="6" max="7" width="16.42578125" style="257" bestFit="1" customWidth="1"/>
    <col min="8" max="8" width="3.7109375" style="257" customWidth="1"/>
    <col min="9" max="16384" width="9.140625" style="257"/>
  </cols>
  <sheetData>
    <row r="1" spans="1:9" ht="18" customHeight="1" x14ac:dyDescent="0.2">
      <c r="A1" s="258"/>
      <c r="B1" s="307" t="s">
        <v>96</v>
      </c>
      <c r="C1" s="307"/>
      <c r="D1" s="307"/>
      <c r="E1" s="307"/>
      <c r="F1" s="307"/>
      <c r="G1" s="309"/>
      <c r="H1" s="308"/>
      <c r="I1" s="258"/>
    </row>
    <row r="2" spans="1:9" ht="15" x14ac:dyDescent="0.2">
      <c r="A2" s="258"/>
      <c r="B2" s="307" t="s">
        <v>97</v>
      </c>
      <c r="C2" s="306">
        <v>43368</v>
      </c>
      <c r="D2" s="305"/>
      <c r="E2" s="305"/>
      <c r="F2" s="305"/>
      <c r="G2" s="305"/>
      <c r="H2" s="258"/>
      <c r="I2" s="258"/>
    </row>
    <row r="3" spans="1:9" x14ac:dyDescent="0.2">
      <c r="A3" s="258"/>
      <c r="B3" s="258"/>
      <c r="C3" s="258"/>
      <c r="D3" s="258"/>
      <c r="E3" s="258"/>
      <c r="F3" s="258"/>
      <c r="G3" s="258"/>
      <c r="H3" s="258"/>
      <c r="I3" s="258"/>
    </row>
    <row r="4" spans="1:9" ht="15" customHeight="1" thickBot="1" x14ac:dyDescent="0.25">
      <c r="A4" s="258"/>
      <c r="B4" s="326"/>
      <c r="C4" s="326"/>
      <c r="D4" s="326"/>
      <c r="E4" s="326"/>
      <c r="F4" s="304"/>
      <c r="G4" s="303"/>
      <c r="H4" s="258"/>
      <c r="I4" s="258"/>
    </row>
    <row r="5" spans="1:9" ht="14.25" x14ac:dyDescent="0.2">
      <c r="A5" s="258"/>
      <c r="B5" s="302"/>
      <c r="C5" s="302"/>
      <c r="D5" s="300" t="s">
        <v>83</v>
      </c>
      <c r="E5" s="300" t="s">
        <v>84</v>
      </c>
      <c r="F5" s="301" t="s">
        <v>6</v>
      </c>
      <c r="G5" s="300" t="s">
        <v>85</v>
      </c>
      <c r="H5" s="258"/>
      <c r="I5" s="258"/>
    </row>
    <row r="6" spans="1:9" ht="15" x14ac:dyDescent="0.25">
      <c r="A6" s="258"/>
      <c r="B6" s="286" t="s">
        <v>98</v>
      </c>
      <c r="C6" s="299"/>
      <c r="D6" s="297">
        <v>692010</v>
      </c>
      <c r="E6" s="297">
        <v>691010</v>
      </c>
      <c r="F6" s="298">
        <v>693010</v>
      </c>
      <c r="G6" s="297"/>
      <c r="H6" s="262"/>
      <c r="I6" s="258"/>
    </row>
    <row r="7" spans="1:9" ht="16.5" customHeight="1" x14ac:dyDescent="0.2">
      <c r="A7" s="258"/>
      <c r="B7" s="290" t="s">
        <v>99</v>
      </c>
      <c r="C7" s="271"/>
      <c r="D7" s="295">
        <v>2432847.13</v>
      </c>
      <c r="E7" s="295">
        <v>1461993.2100000004</v>
      </c>
      <c r="F7" s="296">
        <v>371791.62999999995</v>
      </c>
      <c r="G7" s="295">
        <v>4266631.9700000007</v>
      </c>
      <c r="H7" s="258"/>
      <c r="I7" s="258"/>
    </row>
    <row r="8" spans="1:9" ht="16.5" customHeight="1" x14ac:dyDescent="0.2">
      <c r="A8" s="258"/>
      <c r="B8" s="290" t="s">
        <v>100</v>
      </c>
      <c r="C8" s="271"/>
      <c r="D8" s="294">
        <f>'[4]Core Cost Incurred'!K42</f>
        <v>1863237.9600000002</v>
      </c>
      <c r="E8" s="294">
        <f>'[4]Core Cost Incurred'!K43</f>
        <v>3716064.01</v>
      </c>
      <c r="F8" s="293">
        <v>0</v>
      </c>
      <c r="G8" s="292">
        <f>SUM(D8:E8)</f>
        <v>5579301.9699999997</v>
      </c>
      <c r="H8" s="258"/>
      <c r="I8" s="258"/>
    </row>
    <row r="9" spans="1:9" ht="16.5" customHeight="1" x14ac:dyDescent="0.2">
      <c r="A9" s="258"/>
      <c r="B9" s="290" t="s">
        <v>101</v>
      </c>
      <c r="C9" s="271"/>
      <c r="D9" s="283">
        <f>D7-D8</f>
        <v>569609.16999999969</v>
      </c>
      <c r="E9" s="291">
        <f>E7-E8</f>
        <v>-2254070.7999999993</v>
      </c>
      <c r="F9" s="291">
        <f>F7-F8</f>
        <v>371791.62999999995</v>
      </c>
      <c r="G9" s="283">
        <f>G7-G8</f>
        <v>-1312669.9999999991</v>
      </c>
      <c r="H9" s="258"/>
      <c r="I9" s="258"/>
    </row>
    <row r="10" spans="1:9" ht="16.5" customHeight="1" x14ac:dyDescent="0.2">
      <c r="A10" s="258"/>
      <c r="B10" s="290" t="s">
        <v>102</v>
      </c>
      <c r="C10" s="271"/>
      <c r="D10" s="287">
        <v>11306.58</v>
      </c>
      <c r="E10" s="289"/>
      <c r="F10" s="288"/>
      <c r="G10" s="287">
        <v>11306.58</v>
      </c>
      <c r="H10" s="258"/>
      <c r="I10" s="258"/>
    </row>
    <row r="11" spans="1:9" ht="16.5" customHeight="1" x14ac:dyDescent="0.2">
      <c r="A11" s="258"/>
      <c r="B11" s="286" t="s">
        <v>103</v>
      </c>
      <c r="C11" s="285"/>
      <c r="D11" s="283"/>
      <c r="E11" s="283">
        <v>255885.42</v>
      </c>
      <c r="F11" s="284"/>
      <c r="G11" s="283">
        <v>255885.42</v>
      </c>
      <c r="H11" s="258"/>
      <c r="I11" s="258"/>
    </row>
    <row r="12" spans="1:9" ht="16.5" customHeight="1" x14ac:dyDescent="0.25">
      <c r="A12" s="258"/>
      <c r="B12" s="282" t="s">
        <v>104</v>
      </c>
      <c r="C12" s="281"/>
      <c r="D12" s="279">
        <f>+D7-D8+D10</f>
        <v>580915.74999999965</v>
      </c>
      <c r="E12" s="279">
        <f>+E9+E11</f>
        <v>-1998185.3799999994</v>
      </c>
      <c r="F12" s="280">
        <f>+F7-F8</f>
        <v>371791.62999999995</v>
      </c>
      <c r="G12" s="279">
        <f>G9+G11+G10</f>
        <v>-1045477.9999999992</v>
      </c>
      <c r="H12" s="258"/>
      <c r="I12" s="258"/>
    </row>
    <row r="13" spans="1:9" ht="14.25" customHeight="1" x14ac:dyDescent="0.2">
      <c r="A13" s="258"/>
      <c r="B13" s="258"/>
      <c r="C13" s="258"/>
      <c r="D13" s="271"/>
      <c r="E13" s="271"/>
      <c r="F13" s="277"/>
      <c r="G13" s="271"/>
      <c r="H13" s="258"/>
      <c r="I13" s="258"/>
    </row>
    <row r="14" spans="1:9" ht="14.25" customHeight="1" x14ac:dyDescent="0.2">
      <c r="A14" s="258"/>
      <c r="B14" s="258"/>
      <c r="C14" s="258"/>
      <c r="D14" s="271" t="s">
        <v>105</v>
      </c>
      <c r="E14" s="271"/>
      <c r="F14" s="277"/>
      <c r="G14" s="271"/>
      <c r="H14" s="258"/>
      <c r="I14" s="258"/>
    </row>
    <row r="15" spans="1:9" ht="14.25" customHeight="1" x14ac:dyDescent="0.2">
      <c r="A15" s="258"/>
      <c r="B15" s="258"/>
      <c r="C15" s="258"/>
      <c r="D15" s="271"/>
      <c r="E15" s="278"/>
      <c r="F15" s="277"/>
      <c r="G15" s="271"/>
      <c r="H15" s="258"/>
      <c r="I15" s="258"/>
    </row>
    <row r="16" spans="1:9" ht="14.25" customHeight="1" x14ac:dyDescent="0.2">
      <c r="A16" s="258"/>
      <c r="B16" s="268" t="s">
        <v>106</v>
      </c>
      <c r="C16" s="268"/>
      <c r="D16" s="276" t="s">
        <v>92</v>
      </c>
      <c r="E16" s="275" t="s">
        <v>92</v>
      </c>
      <c r="F16" s="274"/>
      <c r="G16" s="264"/>
      <c r="H16" s="258"/>
      <c r="I16" s="258"/>
    </row>
    <row r="17" spans="1:9" ht="14.25" customHeight="1" x14ac:dyDescent="0.2">
      <c r="A17" s="258"/>
      <c r="B17" s="262"/>
      <c r="C17" s="262"/>
      <c r="D17" s="273"/>
      <c r="E17" s="273"/>
      <c r="F17" s="272"/>
      <c r="G17" s="271"/>
      <c r="H17" s="258"/>
      <c r="I17" s="258"/>
    </row>
    <row r="18" spans="1:9" ht="14.25" customHeight="1" x14ac:dyDescent="0.2">
      <c r="A18" s="258"/>
      <c r="B18" s="262"/>
      <c r="C18" s="262"/>
      <c r="D18" s="269">
        <f>-D12</f>
        <v>-580915.74999999965</v>
      </c>
      <c r="E18" s="269">
        <f>-E9-E11</f>
        <v>1998185.3799999994</v>
      </c>
      <c r="F18" s="270">
        <f>-F12</f>
        <v>-371791.62999999995</v>
      </c>
      <c r="G18" s="269">
        <f>SUM(D18:F18)</f>
        <v>1045478</v>
      </c>
      <c r="H18" s="258"/>
      <c r="I18" s="258"/>
    </row>
    <row r="19" spans="1:9" ht="14.25" customHeight="1" thickBot="1" x14ac:dyDescent="0.25">
      <c r="A19" s="258"/>
      <c r="B19" s="268" t="s">
        <v>107</v>
      </c>
      <c r="C19" s="268"/>
      <c r="D19" s="267" t="s">
        <v>93</v>
      </c>
      <c r="E19" s="266" t="s">
        <v>94</v>
      </c>
      <c r="F19" s="265"/>
      <c r="G19" s="264"/>
      <c r="H19" s="258"/>
      <c r="I19" s="258"/>
    </row>
    <row r="20" spans="1:9" x14ac:dyDescent="0.2">
      <c r="A20" s="258"/>
      <c r="B20" s="262"/>
      <c r="C20" s="262"/>
      <c r="D20" s="258"/>
      <c r="E20" s="263"/>
      <c r="F20" s="263"/>
      <c r="G20" s="263"/>
      <c r="H20" s="258"/>
      <c r="I20" s="258"/>
    </row>
    <row r="21" spans="1:9" x14ac:dyDescent="0.2">
      <c r="A21" s="258"/>
      <c r="B21" s="258"/>
      <c r="C21" s="258"/>
      <c r="D21" s="262"/>
      <c r="E21" s="261"/>
      <c r="F21" s="260"/>
      <c r="G21" s="258"/>
      <c r="H21" s="258"/>
      <c r="I21" s="258"/>
    </row>
    <row r="22" spans="1:9" x14ac:dyDescent="0.2">
      <c r="A22" s="258"/>
      <c r="B22" s="258"/>
      <c r="C22" s="258"/>
      <c r="D22" s="258"/>
      <c r="E22" s="261"/>
      <c r="F22" s="260"/>
      <c r="G22" s="258"/>
      <c r="H22" s="258"/>
      <c r="I22" s="258"/>
    </row>
    <row r="23" spans="1:9" x14ac:dyDescent="0.2">
      <c r="A23" s="258"/>
      <c r="B23" s="258"/>
      <c r="C23" s="258"/>
      <c r="D23" s="258"/>
      <c r="E23" s="261"/>
      <c r="F23" s="260"/>
      <c r="G23" s="258"/>
      <c r="H23" s="258"/>
      <c r="I23" s="258"/>
    </row>
    <row r="24" spans="1:9" x14ac:dyDescent="0.2">
      <c r="A24" s="258"/>
      <c r="B24" s="258"/>
      <c r="C24" s="258"/>
      <c r="D24" s="258"/>
      <c r="E24" s="258"/>
      <c r="F24" s="260"/>
      <c r="G24" s="258"/>
      <c r="H24" s="258"/>
      <c r="I24" s="258"/>
    </row>
    <row r="25" spans="1:9" x14ac:dyDescent="0.2">
      <c r="A25" s="258"/>
      <c r="B25" s="258"/>
      <c r="C25" s="258"/>
      <c r="D25" s="258"/>
      <c r="E25" s="258"/>
      <c r="F25" s="258"/>
      <c r="G25" s="258"/>
      <c r="H25" s="258"/>
      <c r="I25" s="258"/>
    </row>
    <row r="26" spans="1:9" x14ac:dyDescent="0.2">
      <c r="A26" s="258"/>
      <c r="B26" s="258"/>
      <c r="C26" s="258"/>
      <c r="D26" s="258"/>
      <c r="E26" s="258"/>
      <c r="F26" s="258"/>
      <c r="G26" s="258"/>
      <c r="H26" s="258"/>
      <c r="I26" s="258"/>
    </row>
    <row r="27" spans="1:9" x14ac:dyDescent="0.2">
      <c r="A27" s="258"/>
      <c r="B27" s="259"/>
      <c r="C27" s="259"/>
      <c r="D27" s="258"/>
      <c r="E27" s="258"/>
      <c r="F27" s="258"/>
      <c r="G27" s="258"/>
      <c r="H27" s="258"/>
      <c r="I27" s="258"/>
    </row>
    <row r="28" spans="1:9" x14ac:dyDescent="0.2">
      <c r="A28" s="258"/>
      <c r="B28" s="258"/>
      <c r="C28" s="258"/>
      <c r="D28" s="258"/>
      <c r="E28" s="258"/>
      <c r="F28" s="258"/>
      <c r="G28" s="258"/>
      <c r="H28" s="258"/>
      <c r="I28" s="258"/>
    </row>
  </sheetData>
  <mergeCells count="1">
    <mergeCell ref="B4:E4"/>
  </mergeCells>
  <pageMargins left="0.5" right="0.25" top="0.5" bottom="0.25" header="0.5" footer="0.5"/>
  <pageSetup scale="81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2018-10-26T07:00:00+00:00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7F9647D-A3CF-4988-9529-52D54D0F2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84181-0766-4BA9-84D9-329E57562231}"/>
</file>

<file path=customXml/itemProps3.xml><?xml version="1.0" encoding="utf-8"?>
<ds:datastoreItem xmlns:ds="http://schemas.openxmlformats.org/officeDocument/2006/customXml" ds:itemID="{C125D4DC-D347-4332-8425-986F7CD5406C}">
  <ds:schemaRefs>
    <ds:schemaRef ds:uri="http://purl.org/dc/elements/1.1/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9659C2-208F-43F5-B8BA-FED62DEFC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Oates, Bryan (UTC)</cp:lastModifiedBy>
  <dcterms:created xsi:type="dcterms:W3CDTF">2018-10-22T18:18:25Z</dcterms:created>
  <dcterms:modified xsi:type="dcterms:W3CDTF">2018-10-26T22:23:35Z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