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2\UE-152058 and UG-152075\"/>
    </mc:Choice>
  </mc:AlternateContent>
  <bookViews>
    <workbookView xWindow="3090" yWindow="-105" windowWidth="19950" windowHeight="8055"/>
  </bookViews>
  <sheets>
    <sheet name="2017 Electric " sheetId="1" r:id="rId1"/>
    <sheet name="2017 Natural Gas" sheetId="2" r:id="rId2"/>
    <sheet name="Sheet3" sheetId="3" r:id="rId3"/>
  </sheets>
  <definedNames>
    <definedName name="_xlnm.Print_Titles" localSheetId="0">'2017 Electric '!$8:$10</definedName>
    <definedName name="_xlnm.Print_Titles" localSheetId="1">'2017 Natural Gas'!$7:$8</definedName>
  </definedNames>
  <calcPr calcId="152511"/>
</workbook>
</file>

<file path=xl/calcChain.xml><?xml version="1.0" encoding="utf-8"?>
<calcChain xmlns="http://schemas.openxmlformats.org/spreadsheetml/2006/main">
  <c r="J168" i="1" l="1"/>
  <c r="K168" i="1"/>
  <c r="L168" i="1"/>
  <c r="M168" i="1"/>
  <c r="N168" i="1"/>
  <c r="O168" i="1"/>
  <c r="P168" i="1"/>
  <c r="I168" i="1"/>
  <c r="H168" i="1"/>
  <c r="Q177" i="1"/>
  <c r="Q174" i="1"/>
  <c r="K138" i="2"/>
  <c r="I138" i="2"/>
  <c r="J138" i="2"/>
  <c r="L138" i="2"/>
  <c r="M138" i="2"/>
  <c r="N138" i="2"/>
  <c r="O138" i="2"/>
  <c r="H138" i="2"/>
  <c r="G138" i="2"/>
  <c r="P141" i="2"/>
  <c r="P147" i="2"/>
  <c r="P144" i="2"/>
  <c r="Q171" i="1"/>
  <c r="Q168" i="1" s="1"/>
  <c r="P138" i="2" l="1"/>
  <c r="Q167" i="1"/>
  <c r="G170" i="2" l="1"/>
  <c r="G164" i="2"/>
  <c r="G152" i="2"/>
  <c r="G131" i="2"/>
  <c r="G122" i="2" s="1"/>
  <c r="G101" i="2"/>
  <c r="G71" i="2"/>
  <c r="G65" i="2"/>
  <c r="G62" i="2"/>
  <c r="G59" i="2"/>
  <c r="G54" i="2"/>
  <c r="G50" i="2"/>
  <c r="G47" i="2"/>
  <c r="G44" i="2"/>
  <c r="G35" i="2"/>
  <c r="G26" i="2"/>
  <c r="G23" i="2"/>
  <c r="G20" i="2"/>
  <c r="G11" i="2"/>
  <c r="Q61" i="1"/>
  <c r="I245" i="1"/>
  <c r="J245" i="1"/>
  <c r="K245" i="1"/>
  <c r="L245" i="1"/>
  <c r="M245" i="1"/>
  <c r="N245" i="1"/>
  <c r="O245" i="1"/>
  <c r="P245" i="1"/>
  <c r="H245" i="1"/>
  <c r="H200" i="1"/>
  <c r="H194" i="1"/>
  <c r="H182" i="1"/>
  <c r="H167" i="1" s="1"/>
  <c r="H161" i="1"/>
  <c r="H158" i="1"/>
  <c r="I134" i="1"/>
  <c r="J134" i="1"/>
  <c r="K134" i="1"/>
  <c r="L134" i="1"/>
  <c r="M134" i="1"/>
  <c r="N134" i="1"/>
  <c r="O134" i="1"/>
  <c r="P134" i="1"/>
  <c r="H128" i="1"/>
  <c r="H134" i="1" s="1"/>
  <c r="Q134" i="1" s="1"/>
  <c r="H120" i="1"/>
  <c r="H117" i="1"/>
  <c r="H111" i="1"/>
  <c r="H108" i="1"/>
  <c r="H105" i="1"/>
  <c r="H102" i="1" s="1"/>
  <c r="H87" i="1"/>
  <c r="H78" i="1" s="1"/>
  <c r="H75" i="1"/>
  <c r="H72" i="1"/>
  <c r="H69" i="1"/>
  <c r="H66" i="1" s="1"/>
  <c r="H58" i="1"/>
  <c r="H55" i="1"/>
  <c r="H52" i="1"/>
  <c r="H46" i="1"/>
  <c r="H43" i="1"/>
  <c r="H34" i="1"/>
  <c r="H31" i="1"/>
  <c r="H28" i="1"/>
  <c r="H25" i="1"/>
  <c r="H22" i="1"/>
  <c r="H19" i="1"/>
  <c r="H16" i="1"/>
  <c r="H13" i="1"/>
  <c r="Q245" i="1" l="1"/>
  <c r="H61" i="1"/>
  <c r="H152" i="1"/>
  <c r="P78" i="2"/>
  <c r="H78" i="2"/>
  <c r="I78" i="2"/>
  <c r="J78" i="2"/>
  <c r="K78" i="2"/>
  <c r="L78" i="2"/>
  <c r="M78" i="2"/>
  <c r="N78" i="2"/>
  <c r="O78" i="2"/>
  <c r="G78" i="2"/>
  <c r="P66" i="2"/>
  <c r="H66" i="2"/>
  <c r="I66" i="2"/>
  <c r="J66" i="2"/>
  <c r="K66" i="2"/>
  <c r="L66" i="2"/>
  <c r="M66" i="2"/>
  <c r="N66" i="2"/>
  <c r="O66" i="2"/>
  <c r="G66" i="2"/>
  <c r="Q103" i="1" l="1"/>
  <c r="H195" i="2" l="1"/>
  <c r="I195" i="2"/>
  <c r="J195" i="2"/>
  <c r="K195" i="2"/>
  <c r="L195" i="2"/>
  <c r="M195" i="2"/>
  <c r="N195" i="2"/>
  <c r="O195" i="2"/>
  <c r="P195" i="2"/>
  <c r="G195" i="2"/>
  <c r="H194" i="2"/>
  <c r="I194" i="2"/>
  <c r="J194" i="2"/>
  <c r="K194" i="2"/>
  <c r="L194" i="2"/>
  <c r="M194" i="2"/>
  <c r="N194" i="2"/>
  <c r="O194" i="2"/>
  <c r="P194" i="2"/>
  <c r="G194" i="2"/>
  <c r="H123" i="2"/>
  <c r="I123" i="2"/>
  <c r="I174" i="2" s="1"/>
  <c r="J123" i="2"/>
  <c r="K123" i="2"/>
  <c r="L123" i="2"/>
  <c r="M123" i="2"/>
  <c r="M174" i="2" s="1"/>
  <c r="N123" i="2"/>
  <c r="O123" i="2"/>
  <c r="P123" i="2"/>
  <c r="G123" i="2"/>
  <c r="G174" i="2" s="1"/>
  <c r="H137" i="2"/>
  <c r="I137" i="2"/>
  <c r="J137" i="2"/>
  <c r="K137" i="2"/>
  <c r="L137" i="2"/>
  <c r="M137" i="2"/>
  <c r="N137" i="2"/>
  <c r="O137" i="2"/>
  <c r="P137" i="2"/>
  <c r="G137" i="2"/>
  <c r="H122" i="2"/>
  <c r="I122" i="2"/>
  <c r="J122" i="2"/>
  <c r="K122" i="2"/>
  <c r="L122" i="2"/>
  <c r="M122" i="2"/>
  <c r="N122" i="2"/>
  <c r="O122" i="2"/>
  <c r="P122" i="2"/>
  <c r="H117" i="2"/>
  <c r="I117" i="2"/>
  <c r="J117" i="2"/>
  <c r="K117" i="2"/>
  <c r="L117" i="2"/>
  <c r="M117" i="2"/>
  <c r="N117" i="2"/>
  <c r="O117" i="2"/>
  <c r="P117" i="2"/>
  <c r="G117" i="2"/>
  <c r="H116" i="2"/>
  <c r="I116" i="2"/>
  <c r="J116" i="2"/>
  <c r="K116" i="2"/>
  <c r="L116" i="2"/>
  <c r="M116" i="2"/>
  <c r="N116" i="2"/>
  <c r="O116" i="2"/>
  <c r="P116" i="2"/>
  <c r="G116" i="2"/>
  <c r="H108" i="2"/>
  <c r="I108" i="2"/>
  <c r="J108" i="2"/>
  <c r="K108" i="2"/>
  <c r="L108" i="2"/>
  <c r="M108" i="2"/>
  <c r="N108" i="2"/>
  <c r="O108" i="2"/>
  <c r="P108" i="2"/>
  <c r="G108" i="2"/>
  <c r="H107" i="2"/>
  <c r="I107" i="2"/>
  <c r="J107" i="2"/>
  <c r="K107" i="2"/>
  <c r="L107" i="2"/>
  <c r="M107" i="2"/>
  <c r="N107" i="2"/>
  <c r="O107" i="2"/>
  <c r="P107" i="2"/>
  <c r="G107" i="2"/>
  <c r="H96" i="2"/>
  <c r="I96" i="2"/>
  <c r="J96" i="2"/>
  <c r="K96" i="2"/>
  <c r="L96" i="2"/>
  <c r="M96" i="2"/>
  <c r="N96" i="2"/>
  <c r="O96" i="2"/>
  <c r="P96" i="2"/>
  <c r="G96" i="2"/>
  <c r="H77" i="2"/>
  <c r="I77" i="2"/>
  <c r="J77" i="2"/>
  <c r="K77" i="2"/>
  <c r="L77" i="2"/>
  <c r="M77" i="2"/>
  <c r="N77" i="2"/>
  <c r="O77" i="2"/>
  <c r="P77" i="2"/>
  <c r="G77" i="2"/>
  <c r="H65" i="2"/>
  <c r="I65" i="2"/>
  <c r="J65" i="2"/>
  <c r="K65" i="2"/>
  <c r="L65" i="2"/>
  <c r="M65" i="2"/>
  <c r="N65" i="2"/>
  <c r="O65" i="2"/>
  <c r="P65" i="2"/>
  <c r="H54" i="2"/>
  <c r="I54" i="2"/>
  <c r="J54" i="2"/>
  <c r="K54" i="2"/>
  <c r="L54" i="2"/>
  <c r="M54" i="2"/>
  <c r="N54" i="2"/>
  <c r="O54" i="2"/>
  <c r="P54" i="2"/>
  <c r="H53" i="2"/>
  <c r="I53" i="2"/>
  <c r="J53" i="2"/>
  <c r="K53" i="2"/>
  <c r="L53" i="2"/>
  <c r="M53" i="2"/>
  <c r="N53" i="2"/>
  <c r="O53" i="2"/>
  <c r="P53" i="2"/>
  <c r="G53" i="2"/>
  <c r="I246" i="1"/>
  <c r="J246" i="1"/>
  <c r="K246" i="1"/>
  <c r="L246" i="1"/>
  <c r="M246" i="1"/>
  <c r="N246" i="1"/>
  <c r="O246" i="1"/>
  <c r="P246" i="1"/>
  <c r="Q246" i="1"/>
  <c r="H246" i="1"/>
  <c r="I228" i="1"/>
  <c r="J228" i="1"/>
  <c r="K228" i="1"/>
  <c r="L228" i="1"/>
  <c r="M228" i="1"/>
  <c r="N228" i="1"/>
  <c r="O228" i="1"/>
  <c r="P228" i="1"/>
  <c r="Q228" i="1"/>
  <c r="H228" i="1"/>
  <c r="I153" i="1"/>
  <c r="J153" i="1"/>
  <c r="K153" i="1"/>
  <c r="L153" i="1"/>
  <c r="M153" i="1"/>
  <c r="N153" i="1"/>
  <c r="O153" i="1"/>
  <c r="P153" i="1"/>
  <c r="Q153" i="1"/>
  <c r="H153" i="1"/>
  <c r="I147" i="1"/>
  <c r="J147" i="1"/>
  <c r="K147" i="1"/>
  <c r="L147" i="1"/>
  <c r="M147" i="1"/>
  <c r="N147" i="1"/>
  <c r="O147" i="1"/>
  <c r="P147" i="1"/>
  <c r="Q147" i="1"/>
  <c r="H147" i="1"/>
  <c r="I135" i="1"/>
  <c r="J135" i="1"/>
  <c r="K135" i="1"/>
  <c r="L135" i="1"/>
  <c r="M135" i="1"/>
  <c r="N135" i="1"/>
  <c r="O135" i="1"/>
  <c r="P135" i="1"/>
  <c r="Q135" i="1"/>
  <c r="H135" i="1"/>
  <c r="I103" i="1"/>
  <c r="J103" i="1"/>
  <c r="K103" i="1"/>
  <c r="L103" i="1"/>
  <c r="M103" i="1"/>
  <c r="N103" i="1"/>
  <c r="O103" i="1"/>
  <c r="P103" i="1"/>
  <c r="H103" i="1"/>
  <c r="I91" i="1"/>
  <c r="J91" i="1"/>
  <c r="K91" i="1"/>
  <c r="L91" i="1"/>
  <c r="M91" i="1"/>
  <c r="N91" i="1"/>
  <c r="O91" i="1"/>
  <c r="P91" i="1"/>
  <c r="Q91" i="1"/>
  <c r="H91" i="1"/>
  <c r="I79" i="1"/>
  <c r="J79" i="1"/>
  <c r="K79" i="1"/>
  <c r="L79" i="1"/>
  <c r="M79" i="1"/>
  <c r="N79" i="1"/>
  <c r="O79" i="1"/>
  <c r="P79" i="1"/>
  <c r="Q79" i="1"/>
  <c r="H79" i="1"/>
  <c r="I67" i="1"/>
  <c r="J67" i="1"/>
  <c r="K67" i="1"/>
  <c r="L67" i="1"/>
  <c r="M67" i="1"/>
  <c r="N67" i="1"/>
  <c r="O67" i="1"/>
  <c r="P67" i="1"/>
  <c r="Q67" i="1"/>
  <c r="H67" i="1"/>
  <c r="I62" i="1"/>
  <c r="J62" i="1"/>
  <c r="K62" i="1"/>
  <c r="L62" i="1"/>
  <c r="M62" i="1"/>
  <c r="N62" i="1"/>
  <c r="O62" i="1"/>
  <c r="P62" i="1"/>
  <c r="Q62" i="1"/>
  <c r="H62" i="1"/>
  <c r="I167" i="1"/>
  <c r="J167" i="1"/>
  <c r="K167" i="1"/>
  <c r="K203" i="1" s="1"/>
  <c r="L167" i="1"/>
  <c r="M167" i="1"/>
  <c r="N167" i="1"/>
  <c r="O167" i="1"/>
  <c r="P167" i="1"/>
  <c r="H203" i="1"/>
  <c r="I152" i="1"/>
  <c r="J152" i="1"/>
  <c r="K152" i="1"/>
  <c r="L152" i="1"/>
  <c r="M152" i="1"/>
  <c r="N152" i="1"/>
  <c r="O152" i="1"/>
  <c r="O203" i="1" s="1"/>
  <c r="P152" i="1"/>
  <c r="Q152" i="1"/>
  <c r="Q203" i="1" s="1"/>
  <c r="I102" i="1"/>
  <c r="J102" i="1"/>
  <c r="K102" i="1"/>
  <c r="L102" i="1"/>
  <c r="M102" i="1"/>
  <c r="N102" i="1"/>
  <c r="O102" i="1"/>
  <c r="P102" i="1"/>
  <c r="Q102" i="1"/>
  <c r="H123" i="1"/>
  <c r="H249" i="1" s="1"/>
  <c r="I90" i="1"/>
  <c r="J90" i="1"/>
  <c r="K90" i="1"/>
  <c r="L90" i="1"/>
  <c r="M90" i="1"/>
  <c r="N90" i="1"/>
  <c r="O90" i="1"/>
  <c r="P90" i="1"/>
  <c r="Q90" i="1"/>
  <c r="H90" i="1"/>
  <c r="I78" i="1"/>
  <c r="J78" i="1"/>
  <c r="J123" i="1" s="1"/>
  <c r="K78" i="1"/>
  <c r="L78" i="1"/>
  <c r="M78" i="1"/>
  <c r="N78" i="1"/>
  <c r="N123" i="1" s="1"/>
  <c r="O78" i="1"/>
  <c r="P78" i="1"/>
  <c r="Q78" i="1"/>
  <c r="I66" i="1"/>
  <c r="I123" i="1" s="1"/>
  <c r="J66" i="1"/>
  <c r="K66" i="1"/>
  <c r="K123" i="1" s="1"/>
  <c r="L66" i="1"/>
  <c r="M66" i="1"/>
  <c r="M123" i="1" s="1"/>
  <c r="N66" i="1"/>
  <c r="O66" i="1"/>
  <c r="O123" i="1" s="1"/>
  <c r="P66" i="1"/>
  <c r="Q66" i="1"/>
  <c r="Q123" i="1" s="1"/>
  <c r="I61" i="1"/>
  <c r="J61" i="1"/>
  <c r="K61" i="1"/>
  <c r="L61" i="1"/>
  <c r="M61" i="1"/>
  <c r="N61" i="1"/>
  <c r="O61" i="1"/>
  <c r="P61" i="1"/>
  <c r="O249" i="1" l="1"/>
  <c r="L123" i="1"/>
  <c r="N249" i="1"/>
  <c r="J249" i="1"/>
  <c r="M203" i="1"/>
  <c r="I203" i="1"/>
  <c r="P95" i="2"/>
  <c r="H95" i="2"/>
  <c r="P123" i="1"/>
  <c r="N203" i="1"/>
  <c r="J203" i="1"/>
  <c r="S118" i="2"/>
  <c r="S117" i="2"/>
  <c r="K249" i="1"/>
  <c r="P249" i="1"/>
  <c r="P203" i="1"/>
  <c r="L203" i="1"/>
  <c r="L249" i="1" s="1"/>
  <c r="P173" i="2"/>
  <c r="P198" i="2" s="1"/>
  <c r="L173" i="2"/>
  <c r="H173" i="2"/>
  <c r="O95" i="2"/>
  <c r="P174" i="2"/>
  <c r="P199" i="2" s="1"/>
  <c r="N95" i="2"/>
  <c r="J95" i="2"/>
  <c r="L95" i="2"/>
  <c r="L198" i="2" s="1"/>
  <c r="K95" i="2"/>
  <c r="K198" i="2" s="1"/>
  <c r="O174" i="2"/>
  <c r="O199" i="2" s="1"/>
  <c r="K174" i="2"/>
  <c r="K199" i="2" s="1"/>
  <c r="M249" i="1"/>
  <c r="I249" i="1"/>
  <c r="Q249" i="1"/>
  <c r="N174" i="2"/>
  <c r="N199" i="2" s="1"/>
  <c r="J174" i="2"/>
  <c r="J199" i="2" s="1"/>
  <c r="O204" i="1"/>
  <c r="K204" i="1"/>
  <c r="M204" i="1"/>
  <c r="I204" i="1"/>
  <c r="Q204" i="1"/>
  <c r="H204" i="1"/>
  <c r="N204" i="1"/>
  <c r="J204" i="1"/>
  <c r="P204" i="1"/>
  <c r="L204" i="1"/>
  <c r="P124" i="1"/>
  <c r="L124" i="1"/>
  <c r="O124" i="1"/>
  <c r="T147" i="1" s="1"/>
  <c r="K124" i="1"/>
  <c r="K250" i="1" s="1"/>
  <c r="N124" i="1"/>
  <c r="Q124" i="1"/>
  <c r="M124" i="1"/>
  <c r="I124" i="1"/>
  <c r="H124" i="1"/>
  <c r="J124" i="1"/>
  <c r="H198" i="2"/>
  <c r="M95" i="2"/>
  <c r="G199" i="2"/>
  <c r="M199" i="2"/>
  <c r="I199" i="2"/>
  <c r="O173" i="2"/>
  <c r="K173" i="2"/>
  <c r="G95" i="2"/>
  <c r="I95" i="2"/>
  <c r="N173" i="2"/>
  <c r="N198" i="2" s="1"/>
  <c r="J173" i="2"/>
  <c r="J198" i="2" s="1"/>
  <c r="G173" i="2"/>
  <c r="M173" i="2"/>
  <c r="I173" i="2"/>
  <c r="L174" i="2"/>
  <c r="L199" i="2" s="1"/>
  <c r="H174" i="2"/>
  <c r="H199" i="2" s="1"/>
  <c r="M250" i="1" l="1"/>
  <c r="S200" i="2"/>
  <c r="S199" i="2"/>
  <c r="O198" i="2"/>
  <c r="M198" i="2"/>
  <c r="O250" i="1"/>
  <c r="N250" i="1"/>
  <c r="I250" i="1"/>
  <c r="J250" i="1"/>
  <c r="Q250" i="1"/>
  <c r="H250" i="1"/>
  <c r="L250" i="1"/>
  <c r="P250" i="1"/>
  <c r="I198" i="2"/>
  <c r="G198" i="2"/>
  <c r="T250" i="1" l="1"/>
</calcChain>
</file>

<file path=xl/sharedStrings.xml><?xml version="1.0" encoding="utf-8"?>
<sst xmlns="http://schemas.openxmlformats.org/spreadsheetml/2006/main" count="297" uniqueCount="152">
  <si>
    <t>Electric Programs</t>
  </si>
  <si>
    <t>Budget Category</t>
  </si>
  <si>
    <t>Schedule</t>
  </si>
  <si>
    <t>Description (Blue, indented text indicates a sub-total value)</t>
  </si>
  <si>
    <t>Overhead</t>
  </si>
  <si>
    <t>Marketing</t>
  </si>
  <si>
    <t>Employee/Office Expense</t>
  </si>
  <si>
    <t>Outside Services</t>
  </si>
  <si>
    <t>Materials</t>
  </si>
  <si>
    <t>Miscellaneous</t>
  </si>
  <si>
    <t>DBtC</t>
  </si>
  <si>
    <t>Revenue</t>
  </si>
  <si>
    <t>Total Budget</t>
  </si>
  <si>
    <t>Residential Energy Management</t>
  </si>
  <si>
    <t>E201</t>
  </si>
  <si>
    <t>Low Income Weatherization</t>
  </si>
  <si>
    <t>E214</t>
  </si>
  <si>
    <t>Home Energy Assessments</t>
  </si>
  <si>
    <t>SF Existing Water Heat</t>
  </si>
  <si>
    <t>SF Existing Weatherization</t>
  </si>
  <si>
    <t>SF Existing Space Heat</t>
  </si>
  <si>
    <t>Home Appliances</t>
  </si>
  <si>
    <t>Residential Showerheads</t>
  </si>
  <si>
    <t>Energy Efficient Lighting Services</t>
  </si>
  <si>
    <t>Mobile Home Duct Sealing</t>
  </si>
  <si>
    <t>Home Energy Reports</t>
  </si>
  <si>
    <t>Web-Enabled Thermostat</t>
  </si>
  <si>
    <t>E215</t>
  </si>
  <si>
    <t>Single Family New Construction</t>
  </si>
  <si>
    <t>Energy Star Manufactured Home</t>
  </si>
  <si>
    <t>E216</t>
  </si>
  <si>
    <t>Fuel Conversion Rebate</t>
  </si>
  <si>
    <t>E217</t>
  </si>
  <si>
    <t>E218</t>
  </si>
  <si>
    <t>Multi-Family New Construction</t>
  </si>
  <si>
    <t>Total, Residential Energy Management</t>
  </si>
  <si>
    <t>Business Energy Managment</t>
  </si>
  <si>
    <t>E250</t>
  </si>
  <si>
    <t>Commercial/Industrial Retrofit</t>
  </si>
  <si>
    <t>Custom Lighting Grants</t>
  </si>
  <si>
    <t>E251</t>
  </si>
  <si>
    <t>Commercial/Industrial New Construction</t>
  </si>
  <si>
    <t>Resource Conservation Management</t>
  </si>
  <si>
    <t>E253</t>
  </si>
  <si>
    <t>RCM</t>
  </si>
  <si>
    <t>Resource Accounting Software</t>
  </si>
  <si>
    <t>High Voltage, Self-Directed</t>
  </si>
  <si>
    <t>E258</t>
  </si>
  <si>
    <t>449 Customers</t>
  </si>
  <si>
    <t>Non-449 Customers</t>
  </si>
  <si>
    <t>E261</t>
  </si>
  <si>
    <t>Technology Evaluation</t>
  </si>
  <si>
    <t>E262</t>
  </si>
  <si>
    <t>Business Rebates</t>
  </si>
  <si>
    <t>Commercial kitchen and laundry</t>
  </si>
  <si>
    <t>Commercial HVAC</t>
  </si>
  <si>
    <t>Small Agriculture Direct Install</t>
  </si>
  <si>
    <t>Lodging Direct Install</t>
  </si>
  <si>
    <t>Small Business Direct Install</t>
  </si>
  <si>
    <t>Total, Business Energy Management</t>
  </si>
  <si>
    <t>Pilots</t>
  </si>
  <si>
    <t>E249</t>
  </si>
  <si>
    <t>Residential Energy Report Expansion</t>
  </si>
  <si>
    <t>Business Energy Reports</t>
  </si>
  <si>
    <t>Total, Pilots</t>
  </si>
  <si>
    <t>Regional Efficiency Programs</t>
  </si>
  <si>
    <t>E254</t>
  </si>
  <si>
    <t>Northwest Energy Efficiency Alliance</t>
  </si>
  <si>
    <t>E292</t>
  </si>
  <si>
    <t>Transmission &amp; Distribution</t>
  </si>
  <si>
    <t>Total, Regional Efficiency Programs</t>
  </si>
  <si>
    <t>Energy Efficiency Portfolio Support</t>
  </si>
  <si>
    <t>(Title pg)</t>
  </si>
  <si>
    <t>Customer Engagement &amp; Education</t>
  </si>
  <si>
    <t>Energy Advisors</t>
  </si>
  <si>
    <t>Events</t>
  </si>
  <si>
    <t>Brochures, non program-specific</t>
  </si>
  <si>
    <t>E202</t>
  </si>
  <si>
    <t>Education</t>
  </si>
  <si>
    <t>Electronic Media Tools &amp; Marketing</t>
  </si>
  <si>
    <t>Customer Digital Experience</t>
  </si>
  <si>
    <t>Market Integration</t>
  </si>
  <si>
    <t>Automated Benchmarking System</t>
  </si>
  <si>
    <t>Rebates Processing</t>
  </si>
  <si>
    <t>Programs Support</t>
  </si>
  <si>
    <t>Data and Systems Services</t>
  </si>
  <si>
    <t>Energy Efficient Communities</t>
  </si>
  <si>
    <t>Trade Ally Support</t>
  </si>
  <si>
    <t>Contractor Alliance Network (revenue + cost)</t>
  </si>
  <si>
    <t>Total, Portfolio Support</t>
  </si>
  <si>
    <t>Research &amp; Compliance</t>
  </si>
  <si>
    <t>Conservation Supply Curves</t>
  </si>
  <si>
    <t>Strategic Planning</t>
  </si>
  <si>
    <t>Market Research</t>
  </si>
  <si>
    <t>Program Evaluation</t>
  </si>
  <si>
    <t xml:space="preserve">Biennial Elec. Consv. Aquisitn. Review </t>
  </si>
  <si>
    <t>Verification Team</t>
  </si>
  <si>
    <t>Total, Research &amp; Compliance</t>
  </si>
  <si>
    <t>Other Electric Programs</t>
  </si>
  <si>
    <t>E150</t>
  </si>
  <si>
    <t>Net Metering</t>
  </si>
  <si>
    <t>Ennn</t>
  </si>
  <si>
    <t>Demand Response, Residential</t>
  </si>
  <si>
    <t>Demand Response, Commercial</t>
  </si>
  <si>
    <t>E248</t>
  </si>
  <si>
    <t>Electric Vehicle Charger Incentive</t>
  </si>
  <si>
    <t>Total, Other Electric Programs</t>
  </si>
  <si>
    <t>G201</t>
  </si>
  <si>
    <t>G214</t>
  </si>
  <si>
    <t>Web-Enabled Thermostats</t>
  </si>
  <si>
    <t>G215</t>
  </si>
  <si>
    <t>G217</t>
  </si>
  <si>
    <t>G218</t>
  </si>
  <si>
    <t>Business Energy Management</t>
  </si>
  <si>
    <t>G250</t>
  </si>
  <si>
    <t>G251</t>
  </si>
  <si>
    <t>G253</t>
  </si>
  <si>
    <t>G261</t>
  </si>
  <si>
    <t>G262</t>
  </si>
  <si>
    <t>Commercial Kitchen &amp; Laundry</t>
  </si>
  <si>
    <t>G249</t>
  </si>
  <si>
    <t>NW Gas Market Transformation</t>
  </si>
  <si>
    <t>Energy Efficiency Research &amp; Compliance</t>
  </si>
  <si>
    <t>All Other CI Retrofit Grants</t>
  </si>
  <si>
    <t>Lighting to Go</t>
  </si>
  <si>
    <t>Exhibit 1, Supplement 1</t>
  </si>
  <si>
    <t>No shading, no italics = Budget amount</t>
  </si>
  <si>
    <t>Darker blue shading, italics = Actual amount</t>
  </si>
  <si>
    <t>Lighter blue shading, italics, grey, smaller text = sub-totals, actuals</t>
  </si>
  <si>
    <t xml:space="preserve">2017 Actual Expenditures Compared to Anticiated Spends </t>
  </si>
  <si>
    <t>PLANNED GRAND TOTAL, ELECTRIC PROGRAMS</t>
  </si>
  <si>
    <r>
      <t>(Highlighted Rows =</t>
    </r>
    <r>
      <rPr>
        <sz val="10"/>
        <color rgb="FF00B050"/>
        <rFont val="Arial"/>
        <family val="2"/>
      </rPr>
      <t xml:space="preserve"> Actual</t>
    </r>
    <r>
      <rPr>
        <sz val="10"/>
        <color rgb="FF0000FF"/>
        <rFont val="Arial"/>
        <family val="2"/>
      </rPr>
      <t xml:space="preserve"> Expenditures)</t>
    </r>
  </si>
  <si>
    <t>ACTUAL GRAND TOTALS</t>
  </si>
  <si>
    <t>ACTUAL TOTALS</t>
  </si>
  <si>
    <t>Natural Gas Programs</t>
  </si>
  <si>
    <t>G202</t>
  </si>
  <si>
    <t>PLANNED GRAND TOTAL, GAS PROGRAMS</t>
  </si>
  <si>
    <t>Multi-Family Retrofit</t>
  </si>
  <si>
    <t>Urban Smart Bellevue</t>
  </si>
  <si>
    <t>Program + Marketing Labor</t>
  </si>
  <si>
    <t xml:space="preserve">"Marketing Labor" is no longer listed in the Supplement. This is a result of structural reporting changes in the enterprise SAP accounting system, which makes queries used in </t>
  </si>
  <si>
    <t>past reports no longer viable. To accommodate the SAP update, PSE moved the "Marketing Labor" budget values into the newly-named "Program + Marketing Labor" category.</t>
  </si>
  <si>
    <t>The combined values [1] match the labor totals indicated in the 2017 ACP, and [2] are accurate representations of actual labor costs noted in SAP.</t>
  </si>
  <si>
    <t>Readers may notice a difference between the 2017 Annual Conservation Plan Exhibit 1 Sector views* and these Exhibit 1, Supplement 1 tables. Specifically, the budget category</t>
  </si>
  <si>
    <t>*NOTE: PSE applied the 2017 ACP Sector views to create the "budget" lines in this Supplement.</t>
  </si>
  <si>
    <t>Sector-level DBtC:</t>
  </si>
  <si>
    <t>(Without NEEA gas MT):</t>
  </si>
  <si>
    <t>Portfolio-level DBtC:</t>
  </si>
  <si>
    <t>Portfolio level DBtC:</t>
  </si>
  <si>
    <t>Without NEEA gas mt:</t>
  </si>
  <si>
    <t>ShopPSE</t>
  </si>
  <si>
    <t>Customer Awareness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</si>
</sst>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i/>
      <sz val="9"/>
      <color theme="1"/>
      <name val="Arial"/>
      <family val="2"/>
    </font>
    <font>
      <sz val="12"/>
      <color theme="1"/>
      <name val="Arial"/>
      <family val="2"/>
    </font>
    <font>
      <sz val="10"/>
      <color rgb="FF0000FF"/>
      <name val="Arial"/>
      <family val="2"/>
    </font>
    <font>
      <sz val="10"/>
      <color rgb="FF00B050"/>
      <name val="Arial"/>
      <family val="2"/>
    </font>
    <font>
      <b/>
      <i/>
      <sz val="9"/>
      <color theme="1"/>
      <name val="Arial"/>
      <family val="2"/>
    </font>
    <font>
      <i/>
      <sz val="9"/>
      <color rgb="FF0070C0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22"/>
      <color rgb="FF006A71"/>
      <name val="Arial"/>
      <family val="2"/>
    </font>
    <font>
      <i/>
      <sz val="8"/>
      <color rgb="FF0070C0"/>
      <name val="Arial"/>
      <family val="2"/>
    </font>
    <font>
      <sz val="10"/>
      <color theme="7" tint="-0.249977111117893"/>
      <name val="Arial"/>
      <family val="2"/>
    </font>
    <font>
      <i/>
      <sz val="8"/>
      <color theme="7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1F5FF"/>
        <bgColor indexed="64"/>
      </patternFill>
    </fill>
    <fill>
      <patternFill patternType="solid">
        <fgColor rgb="FFBDFAFF"/>
        <bgColor indexed="64"/>
      </patternFill>
    </fill>
    <fill>
      <patternFill patternType="solid">
        <fgColor rgb="FFD1F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2" fillId="0" borderId="0" xfId="0" applyFont="1"/>
    <xf numFmtId="164" fontId="2" fillId="0" borderId="0" xfId="1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/>
    <xf numFmtId="0" fontId="3" fillId="0" borderId="0" xfId="0" applyFont="1" applyAlignment="1"/>
    <xf numFmtId="0" fontId="0" fillId="0" borderId="0" xfId="0" applyFont="1"/>
    <xf numFmtId="0" fontId="0" fillId="0" borderId="1" xfId="0" applyBorder="1"/>
    <xf numFmtId="0" fontId="4" fillId="0" borderId="0" xfId="0" applyFont="1"/>
    <xf numFmtId="0" fontId="0" fillId="0" borderId="0" xfId="0" applyBorder="1" applyAlignment="1">
      <alignment horizontal="right"/>
    </xf>
    <xf numFmtId="0" fontId="5" fillId="2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/>
    <xf numFmtId="0" fontId="9" fillId="0" borderId="0" xfId="0" applyFont="1" applyAlignment="1">
      <alignment horizontal="right"/>
    </xf>
    <xf numFmtId="164" fontId="5" fillId="2" borderId="0" xfId="1" applyNumberFormat="1" applyFont="1" applyFill="1"/>
    <xf numFmtId="0" fontId="5" fillId="0" borderId="0" xfId="0" applyFont="1"/>
    <xf numFmtId="0" fontId="5" fillId="0" borderId="0" xfId="0" applyFont="1" applyAlignment="1"/>
    <xf numFmtId="0" fontId="10" fillId="0" borderId="0" xfId="0" applyFont="1"/>
    <xf numFmtId="0" fontId="10" fillId="0" borderId="0" xfId="0" applyFont="1" applyAlignment="1"/>
    <xf numFmtId="0" fontId="5" fillId="0" borderId="0" xfId="0" applyFont="1" applyAlignment="1">
      <alignment horizontal="right"/>
    </xf>
    <xf numFmtId="164" fontId="0" fillId="0" borderId="2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5" fillId="2" borderId="10" xfId="1" applyNumberFormat="1" applyFont="1" applyFill="1" applyBorder="1"/>
    <xf numFmtId="164" fontId="5" fillId="2" borderId="11" xfId="1" applyNumberFormat="1" applyFont="1" applyFill="1" applyBorder="1"/>
    <xf numFmtId="164" fontId="5" fillId="2" borderId="12" xfId="1" applyNumberFormat="1" applyFont="1" applyFill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0" xfId="1" applyNumberFormat="1" applyFont="1" applyBorder="1"/>
    <xf numFmtId="164" fontId="5" fillId="2" borderId="0" xfId="1" applyNumberFormat="1" applyFont="1" applyFill="1" applyBorder="1"/>
    <xf numFmtId="164" fontId="5" fillId="2" borderId="13" xfId="1" applyNumberFormat="1" applyFont="1" applyFill="1" applyBorder="1"/>
    <xf numFmtId="164" fontId="5" fillId="2" borderId="14" xfId="1" applyNumberFormat="1" applyFont="1" applyFill="1" applyBorder="1"/>
    <xf numFmtId="164" fontId="0" fillId="0" borderId="13" xfId="1" applyNumberFormat="1" applyFont="1" applyBorder="1"/>
    <xf numFmtId="164" fontId="0" fillId="0" borderId="0" xfId="1" applyNumberFormat="1" applyFont="1" applyBorder="1"/>
    <xf numFmtId="164" fontId="0" fillId="0" borderId="14" xfId="1" applyNumberFormat="1" applyFont="1" applyBorder="1"/>
    <xf numFmtId="164" fontId="3" fillId="0" borderId="13" xfId="1" applyNumberFormat="1" applyFont="1" applyBorder="1"/>
    <xf numFmtId="164" fontId="3" fillId="0" borderId="0" xfId="1" applyNumberFormat="1" applyFont="1" applyBorder="1"/>
    <xf numFmtId="164" fontId="3" fillId="0" borderId="14" xfId="1" applyNumberFormat="1" applyFont="1" applyBorder="1"/>
    <xf numFmtId="164" fontId="10" fillId="4" borderId="13" xfId="1" applyNumberFormat="1" applyFont="1" applyFill="1" applyBorder="1"/>
    <xf numFmtId="164" fontId="10" fillId="4" borderId="0" xfId="1" applyNumberFormat="1" applyFont="1" applyFill="1" applyBorder="1"/>
    <xf numFmtId="164" fontId="10" fillId="4" borderId="14" xfId="1" applyNumberFormat="1" applyFont="1" applyFill="1" applyBorder="1"/>
    <xf numFmtId="164" fontId="10" fillId="4" borderId="10" xfId="1" applyNumberFormat="1" applyFont="1" applyFill="1" applyBorder="1"/>
    <xf numFmtId="164" fontId="10" fillId="4" borderId="11" xfId="1" applyNumberFormat="1" applyFont="1" applyFill="1" applyBorder="1"/>
    <xf numFmtId="164" fontId="10" fillId="4" borderId="12" xfId="1" applyNumberFormat="1" applyFont="1" applyFill="1" applyBorder="1"/>
    <xf numFmtId="164" fontId="5" fillId="4" borderId="10" xfId="1" applyNumberFormat="1" applyFont="1" applyFill="1" applyBorder="1"/>
    <xf numFmtId="164" fontId="5" fillId="4" borderId="11" xfId="1" applyNumberFormat="1" applyFont="1" applyFill="1" applyBorder="1"/>
    <xf numFmtId="164" fontId="5" fillId="4" borderId="12" xfId="1" applyNumberFormat="1" applyFont="1" applyFill="1" applyBorder="1"/>
    <xf numFmtId="0" fontId="0" fillId="0" borderId="3" xfId="0" applyBorder="1" applyAlignment="1">
      <alignment horizontal="right"/>
    </xf>
    <xf numFmtId="164" fontId="2" fillId="5" borderId="6" xfId="1" applyNumberFormat="1" applyFont="1" applyFill="1" applyBorder="1" applyAlignment="1">
      <alignment wrapText="1"/>
    </xf>
    <xf numFmtId="164" fontId="2" fillId="5" borderId="16" xfId="1" applyNumberFormat="1" applyFont="1" applyFill="1" applyBorder="1" applyAlignment="1">
      <alignment wrapText="1"/>
    </xf>
    <xf numFmtId="0" fontId="11" fillId="0" borderId="0" xfId="0" applyFont="1"/>
    <xf numFmtId="164" fontId="0" fillId="2" borderId="3" xfId="1" applyNumberFormat="1" applyFont="1" applyFill="1" applyBorder="1"/>
    <xf numFmtId="164" fontId="0" fillId="3" borderId="5" xfId="1" applyNumberFormat="1" applyFont="1" applyFill="1" applyBorder="1"/>
    <xf numFmtId="0" fontId="9" fillId="0" borderId="0" xfId="0" applyFont="1"/>
    <xf numFmtId="164" fontId="9" fillId="2" borderId="0" xfId="1" applyNumberFormat="1" applyFont="1" applyFill="1" applyBorder="1"/>
    <xf numFmtId="0" fontId="10" fillId="0" borderId="0" xfId="0" applyFont="1" applyAlignment="1">
      <alignment horizontal="right"/>
    </xf>
    <xf numFmtId="0" fontId="12" fillId="0" borderId="0" xfId="0" applyFont="1"/>
    <xf numFmtId="164" fontId="12" fillId="2" borderId="0" xfId="1" applyNumberFormat="1" applyFont="1" applyFill="1"/>
    <xf numFmtId="164" fontId="1" fillId="0" borderId="0" xfId="1" applyNumberFormat="1" applyFont="1"/>
    <xf numFmtId="0" fontId="0" fillId="2" borderId="0" xfId="0" applyFill="1" applyBorder="1"/>
    <xf numFmtId="0" fontId="0" fillId="3" borderId="4" xfId="0" applyFill="1" applyBorder="1"/>
    <xf numFmtId="0" fontId="0" fillId="0" borderId="17" xfId="0" applyFont="1" applyBorder="1"/>
    <xf numFmtId="0" fontId="5" fillId="2" borderId="18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0" fillId="0" borderId="0" xfId="0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vertical="center"/>
    </xf>
    <xf numFmtId="164" fontId="13" fillId="0" borderId="0" xfId="1" applyNumberFormat="1" applyFont="1"/>
    <xf numFmtId="164" fontId="2" fillId="6" borderId="6" xfId="1" applyNumberFormat="1" applyFont="1" applyFill="1" applyBorder="1" applyAlignment="1">
      <alignment wrapText="1"/>
    </xf>
    <xf numFmtId="164" fontId="2" fillId="6" borderId="16" xfId="1" applyNumberFormat="1" applyFont="1" applyFill="1" applyBorder="1" applyAlignment="1">
      <alignment wrapText="1"/>
    </xf>
    <xf numFmtId="164" fontId="2" fillId="6" borderId="15" xfId="1" applyNumberFormat="1" applyFont="1" applyFill="1" applyBorder="1" applyAlignment="1">
      <alignment wrapText="1"/>
    </xf>
    <xf numFmtId="0" fontId="14" fillId="0" borderId="0" xfId="0" applyFont="1"/>
    <xf numFmtId="0" fontId="15" fillId="0" borderId="0" xfId="0" applyFont="1"/>
    <xf numFmtId="165" fontId="5" fillId="0" borderId="0" xfId="2" applyNumberFormat="1" applyFont="1"/>
    <xf numFmtId="0" fontId="12" fillId="0" borderId="0" xfId="0" applyFont="1" applyAlignment="1">
      <alignment horizontal="right"/>
    </xf>
    <xf numFmtId="165" fontId="12" fillId="0" borderId="0" xfId="2" applyNumberFormat="1" applyFont="1"/>
    <xf numFmtId="0" fontId="3" fillId="0" borderId="0" xfId="0" applyFont="1" applyBorder="1" applyAlignment="1"/>
    <xf numFmtId="164" fontId="3" fillId="0" borderId="11" xfId="1" applyNumberFormat="1" applyFont="1" applyBorder="1"/>
    <xf numFmtId="164" fontId="16" fillId="0" borderId="0" xfId="1" applyNumberFormat="1" applyFont="1" applyBorder="1" applyAlignment="1">
      <alignment horizontal="right"/>
    </xf>
    <xf numFmtId="0" fontId="17" fillId="0" borderId="0" xfId="0" applyFont="1"/>
    <xf numFmtId="164" fontId="17" fillId="0" borderId="13" xfId="1" applyNumberFormat="1" applyFont="1" applyBorder="1"/>
    <xf numFmtId="164" fontId="17" fillId="0" borderId="0" xfId="1" applyNumberFormat="1" applyFont="1" applyBorder="1"/>
    <xf numFmtId="164" fontId="17" fillId="0" borderId="14" xfId="1" applyNumberFormat="1" applyFont="1" applyBorder="1"/>
    <xf numFmtId="164" fontId="18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A71"/>
      <color rgb="FFB8CCE4"/>
      <color rgb="FF71F5FF"/>
      <color rgb="FFBDFAFF"/>
      <color rgb="FFD1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7"/>
  <sheetViews>
    <sheetView showGridLines="0" tabSelected="1" topLeftCell="E7" zoomScaleNormal="100" workbookViewId="0">
      <pane xSplit="3" ySplit="3" topLeftCell="H10" activePane="bottomRight" state="frozen"/>
      <selection activeCell="E7" sqref="E7"/>
      <selection pane="topRight" activeCell="H7" sqref="H7"/>
      <selection pane="bottomLeft" activeCell="E10" sqref="E10"/>
      <selection pane="bottomRight" activeCell="F7" sqref="F7"/>
    </sheetView>
  </sheetViews>
  <sheetFormatPr defaultRowHeight="12.75" x14ac:dyDescent="0.2"/>
  <cols>
    <col min="1" max="1" width="2" customWidth="1"/>
    <col min="2" max="2" width="9.7109375" customWidth="1"/>
    <col min="5" max="5" width="4.28515625" customWidth="1"/>
    <col min="6" max="6" width="28.28515625" customWidth="1"/>
    <col min="7" max="7" width="17.140625" style="8" customWidth="1"/>
    <col min="8" max="8" width="15.42578125" style="1" customWidth="1"/>
    <col min="9" max="10" width="14.140625" style="1" bestFit="1" customWidth="1"/>
    <col min="11" max="11" width="15.28515625" style="1" customWidth="1"/>
    <col min="12" max="12" width="15.140625" style="1" bestFit="1" customWidth="1"/>
    <col min="13" max="13" width="12.42578125" style="1" bestFit="1" customWidth="1"/>
    <col min="14" max="14" width="14.140625" style="1" bestFit="1" customWidth="1"/>
    <col min="15" max="15" width="15.140625" style="1" bestFit="1" customWidth="1"/>
    <col min="16" max="16" width="13.28515625" style="1" bestFit="1" customWidth="1"/>
    <col min="17" max="17" width="16.140625" style="1" bestFit="1" customWidth="1"/>
  </cols>
  <sheetData>
    <row r="1" spans="2:17" x14ac:dyDescent="0.2">
      <c r="G1" s="1"/>
      <c r="P1" s="10"/>
      <c r="Q1"/>
    </row>
    <row r="2" spans="2:17" ht="27.75" x14ac:dyDescent="0.4">
      <c r="B2" s="80" t="s">
        <v>125</v>
      </c>
      <c r="F2" s="72"/>
      <c r="P2" s="10"/>
      <c r="Q2"/>
    </row>
    <row r="3" spans="2:17" x14ac:dyDescent="0.2">
      <c r="B3" s="12" t="s">
        <v>129</v>
      </c>
      <c r="F3" s="13"/>
      <c r="P3" s="10"/>
      <c r="Q3"/>
    </row>
    <row r="4" spans="2:17" x14ac:dyDescent="0.2">
      <c r="B4" s="12"/>
      <c r="F4" s="55"/>
      <c r="G4" s="69" t="s">
        <v>126</v>
      </c>
      <c r="H4" s="11"/>
      <c r="I4" s="11"/>
      <c r="J4" s="26"/>
      <c r="P4" s="10"/>
      <c r="Q4"/>
    </row>
    <row r="5" spans="2:17" x14ac:dyDescent="0.2">
      <c r="F5" s="13"/>
      <c r="G5" s="70" t="s">
        <v>127</v>
      </c>
      <c r="H5" s="14"/>
      <c r="I5" s="67"/>
      <c r="J5" s="59"/>
      <c r="P5" s="10"/>
      <c r="Q5"/>
    </row>
    <row r="6" spans="2:17" x14ac:dyDescent="0.2">
      <c r="G6" s="71" t="s">
        <v>128</v>
      </c>
      <c r="H6" s="15"/>
      <c r="I6" s="68"/>
      <c r="J6" s="60"/>
    </row>
    <row r="7" spans="2:17" ht="14.45" customHeight="1" x14ac:dyDescent="0.2"/>
    <row r="8" spans="2:17" ht="31.9" customHeight="1" x14ac:dyDescent="0.3">
      <c r="B8" s="79" t="s">
        <v>0</v>
      </c>
      <c r="H8" s="4" t="s">
        <v>1</v>
      </c>
    </row>
    <row r="9" spans="2:17" ht="38.25" x14ac:dyDescent="0.2">
      <c r="C9" t="s">
        <v>2</v>
      </c>
      <c r="E9" t="s">
        <v>3</v>
      </c>
      <c r="H9" s="56" t="s">
        <v>139</v>
      </c>
      <c r="I9" s="56" t="s">
        <v>4</v>
      </c>
      <c r="J9" s="57" t="s">
        <v>5</v>
      </c>
      <c r="K9" s="56" t="s">
        <v>6</v>
      </c>
      <c r="L9" s="56" t="s">
        <v>7</v>
      </c>
      <c r="M9" s="56" t="s">
        <v>8</v>
      </c>
      <c r="N9" s="57" t="s">
        <v>9</v>
      </c>
      <c r="O9" s="56" t="s">
        <v>10</v>
      </c>
      <c r="P9" s="56" t="s">
        <v>11</v>
      </c>
      <c r="Q9" s="56" t="s">
        <v>12</v>
      </c>
    </row>
    <row r="11" spans="2:17" x14ac:dyDescent="0.2">
      <c r="C11" t="s">
        <v>13</v>
      </c>
    </row>
    <row r="12" spans="2:17" x14ac:dyDescent="0.2">
      <c r="G12" s="18" t="s">
        <v>131</v>
      </c>
    </row>
    <row r="13" spans="2:17" x14ac:dyDescent="0.2">
      <c r="C13" t="s">
        <v>14</v>
      </c>
      <c r="E13" t="s">
        <v>15</v>
      </c>
      <c r="H13" s="27">
        <f>100686.25+14400</f>
        <v>115086.25</v>
      </c>
      <c r="I13" s="28">
        <v>103347.4525</v>
      </c>
      <c r="J13" s="28">
        <v>45000</v>
      </c>
      <c r="K13" s="28">
        <v>4000</v>
      </c>
      <c r="L13" s="28">
        <v>6500</v>
      </c>
      <c r="M13" s="28">
        <v>1000</v>
      </c>
      <c r="N13" s="28">
        <v>1000</v>
      </c>
      <c r="O13" s="28">
        <v>3459494.2250000001</v>
      </c>
      <c r="P13" s="28">
        <v>0</v>
      </c>
      <c r="Q13" s="29">
        <v>3735427.9275000002</v>
      </c>
    </row>
    <row r="14" spans="2:17" s="21" customFormat="1" ht="12" x14ac:dyDescent="0.2">
      <c r="G14" s="22"/>
      <c r="H14" s="30">
        <v>99264.1</v>
      </c>
      <c r="I14" s="31">
        <v>94499.64</v>
      </c>
      <c r="J14" s="31">
        <v>34250.239999999998</v>
      </c>
      <c r="K14" s="31">
        <v>4117.49</v>
      </c>
      <c r="L14" s="31">
        <v>8649</v>
      </c>
      <c r="M14" s="31">
        <v>3136.58</v>
      </c>
      <c r="N14" s="31">
        <v>0</v>
      </c>
      <c r="O14" s="31">
        <v>3946653.62</v>
      </c>
      <c r="P14" s="31">
        <v>-1692</v>
      </c>
      <c r="Q14" s="32">
        <v>4188878.6700000009</v>
      </c>
    </row>
    <row r="16" spans="2:17" x14ac:dyDescent="0.2">
      <c r="C16" t="s">
        <v>16</v>
      </c>
      <c r="E16" t="s">
        <v>17</v>
      </c>
      <c r="H16" s="27">
        <f>39526.8+22561</f>
        <v>62087.8</v>
      </c>
      <c r="I16" s="28">
        <v>55755.095840000002</v>
      </c>
      <c r="J16" s="28">
        <v>134200</v>
      </c>
      <c r="K16" s="28">
        <v>3000</v>
      </c>
      <c r="L16" s="28">
        <v>220819.13</v>
      </c>
      <c r="M16" s="28">
        <v>1000</v>
      </c>
      <c r="N16" s="28">
        <v>2000</v>
      </c>
      <c r="O16" s="28">
        <v>2365085.5</v>
      </c>
      <c r="P16" s="28">
        <v>0</v>
      </c>
      <c r="Q16" s="29">
        <v>2843947.80584</v>
      </c>
    </row>
    <row r="17" spans="3:17" s="21" customFormat="1" ht="12" x14ac:dyDescent="0.2">
      <c r="G17" s="22"/>
      <c r="H17" s="30">
        <v>39483.31</v>
      </c>
      <c r="I17" s="31">
        <v>37228.839999999997</v>
      </c>
      <c r="J17" s="31">
        <v>123306.85</v>
      </c>
      <c r="K17" s="31">
        <v>2827.48</v>
      </c>
      <c r="L17" s="31">
        <v>-85204.72</v>
      </c>
      <c r="M17" s="31">
        <v>1301.0999999999999</v>
      </c>
      <c r="N17" s="31">
        <v>0</v>
      </c>
      <c r="O17" s="31">
        <v>2091539.92</v>
      </c>
      <c r="P17" s="31">
        <v>0</v>
      </c>
      <c r="Q17" s="32">
        <v>2210482.7799999998</v>
      </c>
    </row>
    <row r="19" spans="3:17" x14ac:dyDescent="0.2">
      <c r="C19" t="s">
        <v>16</v>
      </c>
      <c r="E19" t="s">
        <v>18</v>
      </c>
      <c r="H19" s="27">
        <f>10885+6153</f>
        <v>17038</v>
      </c>
      <c r="I19" s="28">
        <v>15300.191349999999</v>
      </c>
      <c r="J19" s="28">
        <v>78750</v>
      </c>
      <c r="K19" s="28">
        <v>1200</v>
      </c>
      <c r="L19" s="28">
        <v>0</v>
      </c>
      <c r="M19" s="28">
        <v>5000</v>
      </c>
      <c r="N19" s="28">
        <v>2400</v>
      </c>
      <c r="O19" s="28">
        <v>357500</v>
      </c>
      <c r="P19" s="28">
        <v>0</v>
      </c>
      <c r="Q19" s="29">
        <v>477188.26634999999</v>
      </c>
    </row>
    <row r="20" spans="3:17" s="21" customFormat="1" ht="12" x14ac:dyDescent="0.2">
      <c r="G20" s="22"/>
      <c r="H20" s="30">
        <v>7859.03</v>
      </c>
      <c r="I20" s="31">
        <v>7449.11</v>
      </c>
      <c r="J20" s="31">
        <v>70229.2</v>
      </c>
      <c r="K20" s="31">
        <v>1843.52</v>
      </c>
      <c r="L20" s="31">
        <v>624.57000000000005</v>
      </c>
      <c r="M20" s="31">
        <v>664.3</v>
      </c>
      <c r="N20" s="31">
        <v>0</v>
      </c>
      <c r="O20" s="31">
        <v>477418.45</v>
      </c>
      <c r="P20" s="31">
        <v>0</v>
      </c>
      <c r="Q20" s="32">
        <v>566088.18000000005</v>
      </c>
    </row>
    <row r="22" spans="3:17" x14ac:dyDescent="0.2">
      <c r="C22" t="s">
        <v>16</v>
      </c>
      <c r="E22" t="s">
        <v>19</v>
      </c>
      <c r="H22" s="27">
        <f>48164.9+24612</f>
        <v>72776.899999999994</v>
      </c>
      <c r="I22" s="28">
        <v>65353.925599999995</v>
      </c>
      <c r="J22" s="28">
        <v>150545</v>
      </c>
      <c r="K22" s="28">
        <v>5302</v>
      </c>
      <c r="L22" s="28">
        <v>144750</v>
      </c>
      <c r="M22" s="28">
        <v>0</v>
      </c>
      <c r="N22" s="28">
        <v>0</v>
      </c>
      <c r="O22" s="28">
        <v>683699.18499999994</v>
      </c>
      <c r="P22" s="28">
        <v>0</v>
      </c>
      <c r="Q22" s="29">
        <v>1122427.3106</v>
      </c>
    </row>
    <row r="23" spans="3:17" s="21" customFormat="1" ht="12" x14ac:dyDescent="0.2">
      <c r="G23" s="22"/>
      <c r="H23" s="30">
        <v>72981.14</v>
      </c>
      <c r="I23" s="31">
        <v>68591.179999999993</v>
      </c>
      <c r="J23" s="31">
        <v>132003.41</v>
      </c>
      <c r="K23" s="31">
        <v>892.24</v>
      </c>
      <c r="L23" s="31">
        <v>129315.8</v>
      </c>
      <c r="M23" s="31">
        <v>320.63</v>
      </c>
      <c r="N23" s="31">
        <v>25</v>
      </c>
      <c r="O23" s="31">
        <v>532960.85</v>
      </c>
      <c r="P23" s="31">
        <v>0</v>
      </c>
      <c r="Q23" s="32">
        <v>937090.25</v>
      </c>
    </row>
    <row r="25" spans="3:17" x14ac:dyDescent="0.2">
      <c r="C25" t="s">
        <v>16</v>
      </c>
      <c r="E25" t="s">
        <v>20</v>
      </c>
      <c r="H25" s="27">
        <f>56771.56+22561</f>
        <v>79332.56</v>
      </c>
      <c r="I25" s="28">
        <v>71240.885829999985</v>
      </c>
      <c r="J25" s="28">
        <v>228000</v>
      </c>
      <c r="K25" s="28">
        <v>7200</v>
      </c>
      <c r="L25" s="28">
        <v>0</v>
      </c>
      <c r="M25" s="28">
        <v>17200</v>
      </c>
      <c r="N25" s="28">
        <v>4000</v>
      </c>
      <c r="O25" s="28">
        <v>3590000</v>
      </c>
      <c r="P25" s="28">
        <v>0</v>
      </c>
      <c r="Q25" s="29">
        <v>3996973.72083</v>
      </c>
    </row>
    <row r="26" spans="3:17" s="21" customFormat="1" ht="12" x14ac:dyDescent="0.2">
      <c r="G26" s="22"/>
      <c r="H26" s="30">
        <v>47597.38</v>
      </c>
      <c r="I26" s="31">
        <v>45211.29</v>
      </c>
      <c r="J26" s="31">
        <v>204432.39</v>
      </c>
      <c r="K26" s="31">
        <v>761.27</v>
      </c>
      <c r="L26" s="31">
        <v>651.74</v>
      </c>
      <c r="M26" s="31">
        <v>4902.29</v>
      </c>
      <c r="N26" s="31">
        <v>0</v>
      </c>
      <c r="O26" s="31">
        <v>4072499.88</v>
      </c>
      <c r="P26" s="31">
        <v>0</v>
      </c>
      <c r="Q26" s="32">
        <v>4376056.24</v>
      </c>
    </row>
    <row r="28" spans="3:17" x14ac:dyDescent="0.2">
      <c r="C28" t="s">
        <v>16</v>
      </c>
      <c r="E28" t="s">
        <v>21</v>
      </c>
      <c r="H28" s="27">
        <f>82698.15+38875</f>
        <v>121573.15</v>
      </c>
      <c r="I28" s="28">
        <v>109172.68869999998</v>
      </c>
      <c r="J28" s="28">
        <v>388395</v>
      </c>
      <c r="K28" s="28">
        <v>3000</v>
      </c>
      <c r="L28" s="28">
        <v>388734</v>
      </c>
      <c r="M28" s="28">
        <v>3000</v>
      </c>
      <c r="N28" s="28">
        <v>500</v>
      </c>
      <c r="O28" s="28">
        <v>3443880</v>
      </c>
      <c r="P28" s="28">
        <v>0</v>
      </c>
      <c r="Q28" s="29">
        <v>4458254.8387000002</v>
      </c>
    </row>
    <row r="29" spans="3:17" s="21" customFormat="1" ht="12" x14ac:dyDescent="0.2">
      <c r="G29" s="22"/>
      <c r="H29" s="30">
        <v>79475.22</v>
      </c>
      <c r="I29" s="31">
        <v>75484.28</v>
      </c>
      <c r="J29" s="31">
        <v>404703.24</v>
      </c>
      <c r="K29" s="31">
        <v>2608.08</v>
      </c>
      <c r="L29" s="31">
        <v>614755.85</v>
      </c>
      <c r="M29" s="31">
        <v>1152.07</v>
      </c>
      <c r="N29" s="31">
        <v>0</v>
      </c>
      <c r="O29" s="31">
        <v>3093214.35</v>
      </c>
      <c r="P29" s="31">
        <v>0</v>
      </c>
      <c r="Q29" s="32">
        <v>4271393.0900000008</v>
      </c>
    </row>
    <row r="31" spans="3:17" x14ac:dyDescent="0.2">
      <c r="C31" t="s">
        <v>16</v>
      </c>
      <c r="E31" t="s">
        <v>22</v>
      </c>
      <c r="H31" s="27">
        <f>26024.85+5400</f>
        <v>31424.85</v>
      </c>
      <c r="I31" s="28">
        <v>28219.245900000002</v>
      </c>
      <c r="J31" s="28">
        <v>80915</v>
      </c>
      <c r="K31" s="28">
        <v>1000</v>
      </c>
      <c r="L31" s="28">
        <v>43006</v>
      </c>
      <c r="M31" s="28">
        <v>1000</v>
      </c>
      <c r="N31" s="28">
        <v>500</v>
      </c>
      <c r="O31" s="28">
        <v>454750</v>
      </c>
      <c r="P31" s="28">
        <v>0</v>
      </c>
      <c r="Q31" s="29">
        <v>640814.79590000003</v>
      </c>
    </row>
    <row r="32" spans="3:17" s="21" customFormat="1" ht="12" x14ac:dyDescent="0.2">
      <c r="G32" s="22"/>
      <c r="H32" s="30">
        <v>21224.44</v>
      </c>
      <c r="I32" s="31">
        <v>20191.47</v>
      </c>
      <c r="J32" s="31">
        <v>16653.240000000002</v>
      </c>
      <c r="K32" s="31">
        <v>31.85</v>
      </c>
      <c r="L32" s="31">
        <v>14224.95</v>
      </c>
      <c r="M32" s="31">
        <v>4.88</v>
      </c>
      <c r="N32" s="31">
        <v>0</v>
      </c>
      <c r="O32" s="31">
        <v>435441.52</v>
      </c>
      <c r="P32" s="31">
        <v>0</v>
      </c>
      <c r="Q32" s="32">
        <v>507772.35</v>
      </c>
    </row>
    <row r="34" spans="3:17" x14ac:dyDescent="0.2">
      <c r="C34" t="s">
        <v>16</v>
      </c>
      <c r="E34" t="s">
        <v>23</v>
      </c>
      <c r="H34" s="27">
        <f>171160.55+101075</f>
        <v>272235.55</v>
      </c>
      <c r="I34" s="28">
        <v>244467.52389999997</v>
      </c>
      <c r="J34" s="28">
        <v>1847331</v>
      </c>
      <c r="K34" s="28">
        <v>11000</v>
      </c>
      <c r="L34" s="28">
        <v>1590926</v>
      </c>
      <c r="M34" s="28">
        <v>8250</v>
      </c>
      <c r="N34" s="28">
        <v>5000</v>
      </c>
      <c r="O34" s="28">
        <v>9853968.75</v>
      </c>
      <c r="P34" s="28">
        <v>0</v>
      </c>
      <c r="Q34" s="29">
        <v>13833178.823899999</v>
      </c>
    </row>
    <row r="35" spans="3:17" s="21" customFormat="1" ht="12" x14ac:dyDescent="0.2">
      <c r="G35" s="22"/>
      <c r="H35" s="30">
        <v>183389.48</v>
      </c>
      <c r="I35" s="31">
        <v>175752.85</v>
      </c>
      <c r="J35" s="31">
        <v>1429176.67</v>
      </c>
      <c r="K35" s="31">
        <v>6295.9</v>
      </c>
      <c r="L35" s="31">
        <v>895300.16</v>
      </c>
      <c r="M35" s="31">
        <v>6511.59</v>
      </c>
      <c r="N35" s="31">
        <v>6243.84</v>
      </c>
      <c r="O35" s="31">
        <v>9252405.2899999991</v>
      </c>
      <c r="P35" s="31">
        <v>0</v>
      </c>
      <c r="Q35" s="32">
        <v>11955075.779999999</v>
      </c>
    </row>
    <row r="37" spans="3:17" x14ac:dyDescent="0.2">
      <c r="C37" t="s">
        <v>16</v>
      </c>
      <c r="E37" t="s">
        <v>24</v>
      </c>
      <c r="H37" s="27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9">
        <v>0</v>
      </c>
    </row>
    <row r="38" spans="3:17" s="21" customFormat="1" ht="12" x14ac:dyDescent="0.2">
      <c r="G38" s="22"/>
      <c r="H38" s="30"/>
      <c r="I38" s="31"/>
      <c r="J38" s="31"/>
      <c r="K38" s="31"/>
      <c r="L38" s="31"/>
      <c r="M38" s="31"/>
      <c r="N38" s="31"/>
      <c r="O38" s="31"/>
      <c r="P38" s="31"/>
      <c r="Q38" s="32"/>
    </row>
    <row r="40" spans="3:17" x14ac:dyDescent="0.2">
      <c r="C40" t="s">
        <v>16</v>
      </c>
      <c r="E40" t="s">
        <v>25</v>
      </c>
      <c r="H40" s="27">
        <v>6220</v>
      </c>
      <c r="I40" s="28">
        <v>5585.5599999999995</v>
      </c>
      <c r="J40" s="28">
        <v>14040</v>
      </c>
      <c r="K40" s="28">
        <v>500</v>
      </c>
      <c r="L40" s="28">
        <v>49769</v>
      </c>
      <c r="M40" s="28">
        <v>250</v>
      </c>
      <c r="N40" s="28">
        <v>250</v>
      </c>
      <c r="O40" s="28">
        <v>49760</v>
      </c>
      <c r="P40" s="28">
        <v>0</v>
      </c>
      <c r="Q40" s="29">
        <v>126374.56</v>
      </c>
    </row>
    <row r="41" spans="3:17" s="21" customFormat="1" ht="12" x14ac:dyDescent="0.2">
      <c r="G41" s="22"/>
      <c r="H41" s="30">
        <v>2438.4299999999998</v>
      </c>
      <c r="I41" s="31">
        <v>2337.44</v>
      </c>
      <c r="J41" s="31">
        <v>0</v>
      </c>
      <c r="K41" s="31">
        <v>4.47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2">
        <v>4780.34</v>
      </c>
    </row>
    <row r="43" spans="3:17" x14ac:dyDescent="0.2">
      <c r="C43" t="s">
        <v>16</v>
      </c>
      <c r="E43" t="s">
        <v>26</v>
      </c>
      <c r="H43" s="27">
        <f>15550+1944</f>
        <v>17494</v>
      </c>
      <c r="I43" s="28">
        <v>15709.387499999999</v>
      </c>
      <c r="J43" s="28">
        <v>35272</v>
      </c>
      <c r="K43" s="28">
        <v>250</v>
      </c>
      <c r="L43" s="28">
        <v>28965</v>
      </c>
      <c r="M43" s="28">
        <v>250</v>
      </c>
      <c r="N43" s="28">
        <v>100</v>
      </c>
      <c r="O43" s="28">
        <v>60000</v>
      </c>
      <c r="P43" s="28">
        <v>0</v>
      </c>
      <c r="Q43" s="29">
        <v>158040.13750000001</v>
      </c>
    </row>
    <row r="44" spans="3:17" s="21" customFormat="1" ht="12" x14ac:dyDescent="0.2">
      <c r="G44" s="22"/>
      <c r="H44" s="30">
        <v>8242.43</v>
      </c>
      <c r="I44" s="31">
        <v>7709.04</v>
      </c>
      <c r="J44" s="31">
        <v>32881.910000000003</v>
      </c>
      <c r="K44" s="31">
        <v>466.05</v>
      </c>
      <c r="L44" s="31">
        <v>20062.14</v>
      </c>
      <c r="M44" s="31">
        <v>0</v>
      </c>
      <c r="N44" s="31">
        <v>0</v>
      </c>
      <c r="O44" s="31">
        <v>441308.42</v>
      </c>
      <c r="P44" s="31">
        <v>0</v>
      </c>
      <c r="Q44" s="32">
        <v>510669.98999999993</v>
      </c>
    </row>
    <row r="46" spans="3:17" x14ac:dyDescent="0.2">
      <c r="C46" t="s">
        <v>27</v>
      </c>
      <c r="E46" t="s">
        <v>28</v>
      </c>
      <c r="H46" s="27">
        <f>11662.5+778</f>
        <v>12440.5</v>
      </c>
      <c r="I46" s="28">
        <v>11171.119999999999</v>
      </c>
      <c r="J46" s="28">
        <v>26000</v>
      </c>
      <c r="K46" s="28">
        <v>1000</v>
      </c>
      <c r="L46" s="28">
        <v>2500</v>
      </c>
      <c r="M46" s="28">
        <v>2000</v>
      </c>
      <c r="N46" s="28">
        <v>0</v>
      </c>
      <c r="O46" s="28">
        <v>0</v>
      </c>
      <c r="P46" s="28">
        <v>0</v>
      </c>
      <c r="Q46" s="29">
        <v>55111.119999999995</v>
      </c>
    </row>
    <row r="47" spans="3:17" s="21" customFormat="1" ht="12" x14ac:dyDescent="0.2">
      <c r="G47" s="22"/>
      <c r="H47" s="30">
        <v>21948.86</v>
      </c>
      <c r="I47" s="31">
        <v>20855.72</v>
      </c>
      <c r="J47" s="31">
        <v>0</v>
      </c>
      <c r="K47" s="31">
        <v>612.48</v>
      </c>
      <c r="L47" s="31">
        <v>610.37</v>
      </c>
      <c r="M47" s="31">
        <v>10.51</v>
      </c>
      <c r="N47" s="31">
        <v>14279.92</v>
      </c>
      <c r="O47" s="31">
        <v>0</v>
      </c>
      <c r="P47" s="31">
        <v>0</v>
      </c>
      <c r="Q47" s="32">
        <v>58317.86</v>
      </c>
    </row>
    <row r="49" spans="3:17" x14ac:dyDescent="0.2">
      <c r="C49" t="s">
        <v>27</v>
      </c>
      <c r="E49" t="s">
        <v>29</v>
      </c>
      <c r="H49" s="27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9">
        <v>0</v>
      </c>
    </row>
    <row r="50" spans="3:17" s="21" customFormat="1" ht="12" x14ac:dyDescent="0.2">
      <c r="G50" s="22"/>
      <c r="H50" s="30"/>
      <c r="I50" s="31"/>
      <c r="J50" s="31"/>
      <c r="K50" s="31"/>
      <c r="L50" s="31"/>
      <c r="M50" s="31"/>
      <c r="N50" s="31"/>
      <c r="O50" s="31"/>
      <c r="P50" s="31"/>
      <c r="Q50" s="32"/>
    </row>
    <row r="52" spans="3:17" x14ac:dyDescent="0.2">
      <c r="C52" t="s">
        <v>30</v>
      </c>
      <c r="E52" t="s">
        <v>31</v>
      </c>
      <c r="H52" s="27">
        <f>44277.4+16408</f>
        <v>60685.4</v>
      </c>
      <c r="I52" s="28">
        <v>54495.668799999999</v>
      </c>
      <c r="J52" s="28">
        <v>85000</v>
      </c>
      <c r="K52" s="28">
        <v>2000</v>
      </c>
      <c r="L52" s="28">
        <v>2000</v>
      </c>
      <c r="M52" s="28">
        <v>1000</v>
      </c>
      <c r="N52" s="28">
        <v>3000</v>
      </c>
      <c r="O52" s="28">
        <v>628850</v>
      </c>
      <c r="P52" s="28">
        <v>0</v>
      </c>
      <c r="Q52" s="29">
        <v>837031.26879999996</v>
      </c>
    </row>
    <row r="53" spans="3:17" s="21" customFormat="1" ht="12" x14ac:dyDescent="0.2">
      <c r="G53" s="22"/>
      <c r="H53" s="30">
        <v>35088.879999999997</v>
      </c>
      <c r="I53" s="31">
        <v>33166.79</v>
      </c>
      <c r="J53" s="31">
        <v>71696.77</v>
      </c>
      <c r="K53" s="31">
        <v>277.92</v>
      </c>
      <c r="L53" s="31">
        <v>691.52</v>
      </c>
      <c r="M53" s="31">
        <v>1008.5</v>
      </c>
      <c r="N53" s="31">
        <v>0</v>
      </c>
      <c r="O53" s="31">
        <v>774290.72</v>
      </c>
      <c r="P53" s="31">
        <v>0</v>
      </c>
      <c r="Q53" s="32">
        <v>916221.10000000009</v>
      </c>
    </row>
    <row r="55" spans="3:17" x14ac:dyDescent="0.2">
      <c r="C55" t="s">
        <v>32</v>
      </c>
      <c r="E55" t="s">
        <v>137</v>
      </c>
      <c r="H55" s="27">
        <f>151612.5+40000</f>
        <v>191612.5</v>
      </c>
      <c r="I55" s="28">
        <v>172068.02499999999</v>
      </c>
      <c r="J55" s="28">
        <v>75000</v>
      </c>
      <c r="K55" s="28">
        <v>4000</v>
      </c>
      <c r="L55" s="28">
        <v>1150000</v>
      </c>
      <c r="M55" s="28">
        <v>1000</v>
      </c>
      <c r="N55" s="28">
        <v>1000</v>
      </c>
      <c r="O55" s="28">
        <v>8479517</v>
      </c>
      <c r="P55" s="28">
        <v>0</v>
      </c>
      <c r="Q55" s="29">
        <v>10074197.525</v>
      </c>
    </row>
    <row r="56" spans="3:17" s="21" customFormat="1" ht="12" x14ac:dyDescent="0.2">
      <c r="G56" s="22"/>
      <c r="H56" s="30">
        <v>150649.66</v>
      </c>
      <c r="I56" s="31">
        <v>142802.23999999999</v>
      </c>
      <c r="J56" s="31">
        <v>53297.33</v>
      </c>
      <c r="K56" s="31">
        <v>4128.1400000000003</v>
      </c>
      <c r="L56" s="31">
        <v>261666.7</v>
      </c>
      <c r="M56" s="31">
        <v>13313.93</v>
      </c>
      <c r="N56" s="31">
        <v>4072.97</v>
      </c>
      <c r="O56" s="31">
        <v>10963953.689999999</v>
      </c>
      <c r="P56" s="31">
        <v>0</v>
      </c>
      <c r="Q56" s="32">
        <v>11593884.66</v>
      </c>
    </row>
    <row r="58" spans="3:17" x14ac:dyDescent="0.2">
      <c r="C58" t="s">
        <v>33</v>
      </c>
      <c r="E58" t="s">
        <v>34</v>
      </c>
      <c r="H58" s="27">
        <f>152390+15550</f>
        <v>167940</v>
      </c>
      <c r="I58" s="28">
        <v>150810.12</v>
      </c>
      <c r="J58" s="28">
        <v>30000</v>
      </c>
      <c r="K58" s="28">
        <v>4000</v>
      </c>
      <c r="L58" s="28">
        <v>0</v>
      </c>
      <c r="M58" s="28">
        <v>500</v>
      </c>
      <c r="N58" s="28">
        <v>500</v>
      </c>
      <c r="O58" s="28">
        <v>319594</v>
      </c>
      <c r="P58" s="28">
        <v>0</v>
      </c>
      <c r="Q58" s="29">
        <v>673344.12</v>
      </c>
    </row>
    <row r="59" spans="3:17" s="21" customFormat="1" ht="12" x14ac:dyDescent="0.2">
      <c r="G59" s="22"/>
      <c r="H59" s="30">
        <v>98636.58</v>
      </c>
      <c r="I59" s="31">
        <v>93841.74</v>
      </c>
      <c r="J59" s="31">
        <v>0</v>
      </c>
      <c r="K59" s="31">
        <v>2278.88</v>
      </c>
      <c r="L59" s="31">
        <v>5090.5</v>
      </c>
      <c r="M59" s="31">
        <v>164.95</v>
      </c>
      <c r="N59" s="31">
        <v>150</v>
      </c>
      <c r="O59" s="31">
        <v>362368.4</v>
      </c>
      <c r="P59" s="31">
        <v>0</v>
      </c>
      <c r="Q59" s="32">
        <v>562531.05000000005</v>
      </c>
    </row>
    <row r="61" spans="3:17" s="3" customFormat="1" x14ac:dyDescent="0.2">
      <c r="G61" s="6" t="s">
        <v>35</v>
      </c>
      <c r="H61" s="36">
        <f>H13+H16+H19+H22+H25+H28+H31+H34+H37+H40+H43+H46+H49+H52+H55+H58</f>
        <v>1227947.46</v>
      </c>
      <c r="I61" s="36">
        <f t="shared" ref="I61:P61" si="0">I13+I16+I19+I22+I25+I28+I31+I34+I37+I40+I43+I46+I49+I52+I55+I58</f>
        <v>1102696.8909199999</v>
      </c>
      <c r="J61" s="36">
        <f t="shared" si="0"/>
        <v>3218448</v>
      </c>
      <c r="K61" s="36">
        <f t="shared" si="0"/>
        <v>47452</v>
      </c>
      <c r="L61" s="36">
        <f t="shared" si="0"/>
        <v>3627969.13</v>
      </c>
      <c r="M61" s="36">
        <f t="shared" si="0"/>
        <v>41450</v>
      </c>
      <c r="N61" s="36">
        <f t="shared" si="0"/>
        <v>20250</v>
      </c>
      <c r="O61" s="36">
        <f t="shared" si="0"/>
        <v>33746098.659999996</v>
      </c>
      <c r="P61" s="36">
        <f t="shared" si="0"/>
        <v>0</v>
      </c>
      <c r="Q61" s="36">
        <f>Q13+Q16+Q19+Q22+Q25+Q28+Q31+Q34+Q37+Q40+Q43+Q46+Q49+Q52+Q55+Q58</f>
        <v>43032312.220919997</v>
      </c>
    </row>
    <row r="62" spans="3:17" s="61" customFormat="1" ht="12" x14ac:dyDescent="0.2">
      <c r="G62" s="19" t="s">
        <v>133</v>
      </c>
      <c r="H62" s="62">
        <f>H14+H17+H20+H23+H26+H29+H32+H35+H38+H41+H44+H47+H50+H53+H56+H59</f>
        <v>868278.94000000018</v>
      </c>
      <c r="I62" s="62">
        <f t="shared" ref="I62:Q62" si="1">I14+I17+I20+I23+I26+I29+I32+I35+I38+I41+I44+I47+I50+I53+I56+I59</f>
        <v>825121.62999999989</v>
      </c>
      <c r="J62" s="62">
        <f t="shared" si="1"/>
        <v>2572631.25</v>
      </c>
      <c r="K62" s="62">
        <f t="shared" si="1"/>
        <v>27145.77</v>
      </c>
      <c r="L62" s="62">
        <f t="shared" si="1"/>
        <v>1866438.58</v>
      </c>
      <c r="M62" s="62">
        <f t="shared" si="1"/>
        <v>32491.33</v>
      </c>
      <c r="N62" s="62">
        <f t="shared" si="1"/>
        <v>24771.730000000003</v>
      </c>
      <c r="O62" s="62">
        <f t="shared" si="1"/>
        <v>36444055.109999992</v>
      </c>
      <c r="P62" s="62">
        <f t="shared" si="1"/>
        <v>-1692</v>
      </c>
      <c r="Q62" s="62">
        <f t="shared" si="1"/>
        <v>42659242.340000004</v>
      </c>
    </row>
    <row r="64" spans="3:17" x14ac:dyDescent="0.2">
      <c r="C64" t="s">
        <v>36</v>
      </c>
    </row>
    <row r="65" spans="3:17" x14ac:dyDescent="0.2">
      <c r="G65" s="18" t="s">
        <v>131</v>
      </c>
    </row>
    <row r="66" spans="3:17" x14ac:dyDescent="0.2">
      <c r="C66" t="s">
        <v>37</v>
      </c>
      <c r="E66" t="s">
        <v>38</v>
      </c>
      <c r="H66" s="27">
        <f>H69+H72+35100</f>
        <v>1848743.0657661192</v>
      </c>
      <c r="I66" s="28">
        <f t="shared" ref="I66:Q66" si="2">I69+I72</f>
        <v>1385747.1301645201</v>
      </c>
      <c r="J66" s="28">
        <f t="shared" si="2"/>
        <v>65785</v>
      </c>
      <c r="K66" s="28">
        <f t="shared" si="2"/>
        <v>107362</v>
      </c>
      <c r="L66" s="28">
        <f t="shared" si="2"/>
        <v>1520000</v>
      </c>
      <c r="M66" s="28">
        <f t="shared" si="2"/>
        <v>30193</v>
      </c>
      <c r="N66" s="28">
        <f t="shared" si="2"/>
        <v>12000</v>
      </c>
      <c r="O66" s="28">
        <f t="shared" si="2"/>
        <v>13990000</v>
      </c>
      <c r="P66" s="28">
        <f t="shared" si="2"/>
        <v>0</v>
      </c>
      <c r="Q66" s="29">
        <f t="shared" si="2"/>
        <v>18924730.295930639</v>
      </c>
    </row>
    <row r="67" spans="3:17" s="21" customFormat="1" ht="12" x14ac:dyDescent="0.2">
      <c r="G67" s="22"/>
      <c r="H67" s="38">
        <f>H70+H73</f>
        <v>1521491.84</v>
      </c>
      <c r="I67" s="37">
        <f t="shared" ref="I67:Q67" si="3">I70+I73</f>
        <v>1980928.1400000001</v>
      </c>
      <c r="J67" s="37">
        <f t="shared" si="3"/>
        <v>10712.01</v>
      </c>
      <c r="K67" s="37">
        <f t="shared" si="3"/>
        <v>55531.15</v>
      </c>
      <c r="L67" s="37">
        <f t="shared" si="3"/>
        <v>720844.04999999993</v>
      </c>
      <c r="M67" s="37">
        <f t="shared" si="3"/>
        <v>8361.2999999999993</v>
      </c>
      <c r="N67" s="37">
        <f t="shared" si="3"/>
        <v>48927.02</v>
      </c>
      <c r="O67" s="37">
        <f t="shared" si="3"/>
        <v>16182537.859999999</v>
      </c>
      <c r="P67" s="37">
        <f t="shared" si="3"/>
        <v>0</v>
      </c>
      <c r="Q67" s="39">
        <f t="shared" si="3"/>
        <v>20529333.370000001</v>
      </c>
    </row>
    <row r="68" spans="3:17" x14ac:dyDescent="0.2">
      <c r="H68" s="40"/>
      <c r="I68" s="41"/>
      <c r="J68" s="41"/>
      <c r="K68" s="41"/>
      <c r="L68" s="41"/>
      <c r="M68" s="41"/>
      <c r="N68" s="41"/>
      <c r="O68" s="41"/>
      <c r="P68" s="41"/>
      <c r="Q68" s="42"/>
    </row>
    <row r="69" spans="3:17" s="2" customFormat="1" x14ac:dyDescent="0.2">
      <c r="F69" s="2" t="s">
        <v>39</v>
      </c>
      <c r="G69" s="9"/>
      <c r="H69" s="43">
        <f>1317100.1+17100</f>
        <v>1334200.1000000001</v>
      </c>
      <c r="I69" s="44">
        <v>1198129.7376000001</v>
      </c>
      <c r="J69" s="44">
        <v>35785</v>
      </c>
      <c r="K69" s="44">
        <v>72362</v>
      </c>
      <c r="L69" s="44">
        <v>140000</v>
      </c>
      <c r="M69" s="44">
        <v>20193</v>
      </c>
      <c r="N69" s="44">
        <v>12000</v>
      </c>
      <c r="O69" s="44">
        <v>8740000</v>
      </c>
      <c r="P69" s="44"/>
      <c r="Q69" s="45">
        <v>11552669.9376</v>
      </c>
    </row>
    <row r="70" spans="3:17" s="23" customFormat="1" ht="12" x14ac:dyDescent="0.2">
      <c r="G70" s="24"/>
      <c r="H70" s="46">
        <v>1231580.3700000001</v>
      </c>
      <c r="I70" s="47">
        <v>1167745.8500000001</v>
      </c>
      <c r="J70" s="47">
        <v>388.89</v>
      </c>
      <c r="K70" s="47">
        <v>17749.96</v>
      </c>
      <c r="L70" s="47">
        <v>61289.919999999998</v>
      </c>
      <c r="M70" s="47">
        <v>2229.81</v>
      </c>
      <c r="N70" s="47">
        <v>0</v>
      </c>
      <c r="O70" s="47">
        <v>12372523.35</v>
      </c>
      <c r="P70" s="47">
        <v>0</v>
      </c>
      <c r="Q70" s="48">
        <v>14853508.15</v>
      </c>
    </row>
    <row r="71" spans="3:17" s="2" customFormat="1" x14ac:dyDescent="0.2">
      <c r="G71" s="9"/>
      <c r="H71" s="43"/>
      <c r="I71" s="44"/>
      <c r="J71" s="44"/>
      <c r="K71" s="44"/>
      <c r="L71" s="44"/>
      <c r="M71" s="44"/>
      <c r="N71" s="44"/>
      <c r="O71" s="44"/>
      <c r="P71" s="44"/>
      <c r="Q71" s="45"/>
    </row>
    <row r="72" spans="3:17" s="2" customFormat="1" x14ac:dyDescent="0.2">
      <c r="F72" s="2" t="s">
        <v>123</v>
      </c>
      <c r="G72" s="9"/>
      <c r="H72" s="43">
        <f>461442.965766119+18000</f>
        <v>479442.96576611901</v>
      </c>
      <c r="I72" s="44">
        <v>187617.39256452007</v>
      </c>
      <c r="J72" s="44">
        <v>30000</v>
      </c>
      <c r="K72" s="44">
        <v>35000</v>
      </c>
      <c r="L72" s="44">
        <v>1380000</v>
      </c>
      <c r="M72" s="44">
        <v>10000</v>
      </c>
      <c r="N72" s="44">
        <v>0</v>
      </c>
      <c r="O72" s="44">
        <v>5250000</v>
      </c>
      <c r="P72" s="44"/>
      <c r="Q72" s="45">
        <v>7372060.3583306391</v>
      </c>
    </row>
    <row r="73" spans="3:17" s="23" customFormat="1" ht="12" x14ac:dyDescent="0.2">
      <c r="G73" s="24"/>
      <c r="H73" s="49">
        <v>289911.46999999997</v>
      </c>
      <c r="I73" s="50">
        <v>813182.29</v>
      </c>
      <c r="J73" s="50">
        <v>10323.120000000001</v>
      </c>
      <c r="K73" s="50">
        <v>37781.19</v>
      </c>
      <c r="L73" s="50">
        <v>659554.12999999989</v>
      </c>
      <c r="M73" s="50">
        <v>6131.49</v>
      </c>
      <c r="N73" s="50">
        <v>48927.02</v>
      </c>
      <c r="O73" s="50">
        <v>3810014.5100000002</v>
      </c>
      <c r="P73" s="50">
        <v>0</v>
      </c>
      <c r="Q73" s="51">
        <v>5675825.2200000007</v>
      </c>
    </row>
    <row r="75" spans="3:17" x14ac:dyDescent="0.2">
      <c r="C75" t="s">
        <v>40</v>
      </c>
      <c r="E75" t="s">
        <v>41</v>
      </c>
      <c r="H75" s="27">
        <f>158400+13340</f>
        <v>171740</v>
      </c>
      <c r="I75" s="28">
        <v>154222.51999999999</v>
      </c>
      <c r="J75" s="28">
        <v>24000</v>
      </c>
      <c r="K75" s="28">
        <v>4000</v>
      </c>
      <c r="L75" s="28">
        <v>120000</v>
      </c>
      <c r="M75" s="28">
        <v>4000</v>
      </c>
      <c r="N75" s="28">
        <v>5000</v>
      </c>
      <c r="O75" s="28">
        <v>2000000</v>
      </c>
      <c r="P75" s="28"/>
      <c r="Q75" s="29">
        <v>2482962.52</v>
      </c>
    </row>
    <row r="76" spans="3:17" s="21" customFormat="1" ht="12" x14ac:dyDescent="0.2">
      <c r="G76" s="22"/>
      <c r="H76" s="30">
        <v>73456.37</v>
      </c>
      <c r="I76" s="31">
        <v>69699.199999999997</v>
      </c>
      <c r="J76" s="31">
        <v>95.82</v>
      </c>
      <c r="K76" s="31">
        <v>1714.05</v>
      </c>
      <c r="L76" s="31">
        <v>126420.55</v>
      </c>
      <c r="M76" s="31">
        <v>3174.43</v>
      </c>
      <c r="N76" s="31">
        <v>606</v>
      </c>
      <c r="O76" s="31">
        <v>4543021.1500000004</v>
      </c>
      <c r="P76" s="31">
        <v>0</v>
      </c>
      <c r="Q76" s="32">
        <v>4818187.57</v>
      </c>
    </row>
    <row r="78" spans="3:17" x14ac:dyDescent="0.2">
      <c r="E78" t="s">
        <v>42</v>
      </c>
      <c r="H78" s="27">
        <f>H81+H84+H87</f>
        <v>430156.83</v>
      </c>
      <c r="I78" s="28">
        <f t="shared" ref="I78:Q78" si="4">I81+I84+I87</f>
        <v>386280.54598</v>
      </c>
      <c r="J78" s="28">
        <f t="shared" si="4"/>
        <v>8000</v>
      </c>
      <c r="K78" s="28">
        <f t="shared" si="4"/>
        <v>16500</v>
      </c>
      <c r="L78" s="28">
        <f t="shared" si="4"/>
        <v>679336</v>
      </c>
      <c r="M78" s="28">
        <f t="shared" si="4"/>
        <v>4000</v>
      </c>
      <c r="N78" s="28">
        <f t="shared" si="4"/>
        <v>15000</v>
      </c>
      <c r="O78" s="28">
        <f t="shared" si="4"/>
        <v>498750</v>
      </c>
      <c r="P78" s="28">
        <f t="shared" si="4"/>
        <v>0</v>
      </c>
      <c r="Q78" s="29">
        <f t="shared" si="4"/>
        <v>2038023.0559799999</v>
      </c>
    </row>
    <row r="79" spans="3:17" s="21" customFormat="1" ht="12" x14ac:dyDescent="0.2">
      <c r="G79" s="22"/>
      <c r="H79" s="38">
        <f>H82+H85+H88</f>
        <v>256301.66</v>
      </c>
      <c r="I79" s="37">
        <f t="shared" ref="I79:Q79" si="5">I82+I85+I88</f>
        <v>243490.06999999998</v>
      </c>
      <c r="J79" s="37">
        <f t="shared" si="5"/>
        <v>750</v>
      </c>
      <c r="K79" s="37">
        <f t="shared" si="5"/>
        <v>13596.19</v>
      </c>
      <c r="L79" s="37">
        <f t="shared" si="5"/>
        <v>469352.41000000003</v>
      </c>
      <c r="M79" s="37">
        <f t="shared" si="5"/>
        <v>6227.84</v>
      </c>
      <c r="N79" s="37">
        <f t="shared" si="5"/>
        <v>0</v>
      </c>
      <c r="O79" s="37">
        <f t="shared" si="5"/>
        <v>465736.88</v>
      </c>
      <c r="P79" s="37">
        <f t="shared" si="5"/>
        <v>0</v>
      </c>
      <c r="Q79" s="39">
        <f t="shared" si="5"/>
        <v>1455455.05</v>
      </c>
    </row>
    <row r="80" spans="3:17" x14ac:dyDescent="0.2">
      <c r="H80" s="40"/>
      <c r="I80" s="41"/>
      <c r="J80" s="41"/>
      <c r="K80" s="41"/>
      <c r="L80" s="41"/>
      <c r="M80" s="41"/>
      <c r="N80" s="41"/>
      <c r="O80" s="41"/>
      <c r="P80" s="41"/>
      <c r="Q80" s="42"/>
    </row>
    <row r="81" spans="3:17" s="2" customFormat="1" x14ac:dyDescent="0.2">
      <c r="C81" s="2" t="s">
        <v>43</v>
      </c>
      <c r="F81" s="2" t="s">
        <v>44</v>
      </c>
      <c r="G81" s="9"/>
      <c r="H81" s="43">
        <v>385000</v>
      </c>
      <c r="I81" s="44">
        <v>345730</v>
      </c>
      <c r="J81" s="44">
        <v>8000</v>
      </c>
      <c r="K81" s="44">
        <v>15000</v>
      </c>
      <c r="L81" s="44">
        <v>163500</v>
      </c>
      <c r="M81" s="44">
        <v>4000</v>
      </c>
      <c r="N81" s="44">
        <v>15000</v>
      </c>
      <c r="O81" s="44">
        <v>498750</v>
      </c>
      <c r="P81" s="44"/>
      <c r="Q81" s="45">
        <v>1434980</v>
      </c>
    </row>
    <row r="82" spans="3:17" s="23" customFormat="1" ht="12" x14ac:dyDescent="0.2">
      <c r="G82" s="24"/>
      <c r="H82" s="46">
        <v>252894.62</v>
      </c>
      <c r="I82" s="47">
        <v>240257.55</v>
      </c>
      <c r="J82" s="47">
        <v>750</v>
      </c>
      <c r="K82" s="47">
        <v>13596.19</v>
      </c>
      <c r="L82" s="47">
        <v>39920.400000000001</v>
      </c>
      <c r="M82" s="47">
        <v>6007.5</v>
      </c>
      <c r="N82" s="47">
        <v>0</v>
      </c>
      <c r="O82" s="47">
        <v>425892.2</v>
      </c>
      <c r="P82" s="47">
        <v>0</v>
      </c>
      <c r="Q82" s="48">
        <v>979318.46</v>
      </c>
    </row>
    <row r="83" spans="3:17" s="2" customFormat="1" x14ac:dyDescent="0.2">
      <c r="G83" s="9"/>
      <c r="H83" s="43"/>
      <c r="I83" s="44"/>
      <c r="J83" s="44"/>
      <c r="K83" s="44"/>
      <c r="L83" s="44"/>
      <c r="M83" s="44"/>
      <c r="N83" s="44"/>
      <c r="O83" s="44"/>
      <c r="P83" s="44"/>
      <c r="Q83" s="45"/>
    </row>
    <row r="84" spans="3:17" s="2" customFormat="1" x14ac:dyDescent="0.2">
      <c r="C84" s="2" t="s">
        <v>43</v>
      </c>
      <c r="F84" s="2" t="s">
        <v>138</v>
      </c>
      <c r="G84" s="9"/>
      <c r="H84" s="43">
        <v>0</v>
      </c>
      <c r="I84" s="44">
        <v>0</v>
      </c>
      <c r="J84" s="44">
        <v>0</v>
      </c>
      <c r="K84" s="44">
        <v>0</v>
      </c>
      <c r="L84" s="44">
        <v>494086</v>
      </c>
      <c r="M84" s="44">
        <v>0</v>
      </c>
      <c r="N84" s="44">
        <v>0</v>
      </c>
      <c r="O84" s="44">
        <v>0</v>
      </c>
      <c r="P84" s="44">
        <v>0</v>
      </c>
      <c r="Q84" s="45">
        <v>494086</v>
      </c>
    </row>
    <row r="85" spans="3:17" s="23" customFormat="1" ht="12" x14ac:dyDescent="0.2">
      <c r="G85" s="24"/>
      <c r="H85" s="46">
        <v>0</v>
      </c>
      <c r="I85" s="47">
        <v>0</v>
      </c>
      <c r="J85" s="47">
        <v>0</v>
      </c>
      <c r="K85" s="47">
        <v>0</v>
      </c>
      <c r="L85" s="47">
        <v>429432.01</v>
      </c>
      <c r="M85" s="47">
        <v>220.34</v>
      </c>
      <c r="N85" s="47">
        <v>0</v>
      </c>
      <c r="O85" s="47">
        <v>39844.68</v>
      </c>
      <c r="P85" s="47">
        <v>0</v>
      </c>
      <c r="Q85" s="48">
        <v>469497.03</v>
      </c>
    </row>
    <row r="86" spans="3:17" s="2" customFormat="1" x14ac:dyDescent="0.2">
      <c r="G86" s="9"/>
      <c r="H86" s="43"/>
      <c r="I86" s="44"/>
      <c r="J86" s="44"/>
      <c r="K86" s="44"/>
      <c r="L86" s="44"/>
      <c r="M86" s="44"/>
      <c r="N86" s="44"/>
      <c r="O86" s="44"/>
      <c r="P86" s="44"/>
      <c r="Q86" s="45"/>
    </row>
    <row r="87" spans="3:17" s="2" customFormat="1" x14ac:dyDescent="0.2">
      <c r="F87" s="2" t="s">
        <v>45</v>
      </c>
      <c r="G87" s="9"/>
      <c r="H87" s="43">
        <f>44472.83+684</f>
        <v>45156.83</v>
      </c>
      <c r="I87" s="44">
        <v>40550.545979999995</v>
      </c>
      <c r="J87" s="44">
        <v>0</v>
      </c>
      <c r="K87" s="44">
        <v>1500</v>
      </c>
      <c r="L87" s="44">
        <v>21750</v>
      </c>
      <c r="M87" s="44">
        <v>0</v>
      </c>
      <c r="N87" s="44">
        <v>0</v>
      </c>
      <c r="O87" s="44">
        <v>0</v>
      </c>
      <c r="P87" s="44">
        <v>0</v>
      </c>
      <c r="Q87" s="45">
        <v>108957.05598</v>
      </c>
    </row>
    <row r="88" spans="3:17" s="21" customFormat="1" ht="12" x14ac:dyDescent="0.2">
      <c r="G88" s="22"/>
      <c r="H88" s="52">
        <v>3407.04</v>
      </c>
      <c r="I88" s="53">
        <v>3232.52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4">
        <v>6639.5599999999995</v>
      </c>
    </row>
    <row r="90" spans="3:17" x14ac:dyDescent="0.2">
      <c r="E90" t="s">
        <v>46</v>
      </c>
      <c r="H90" s="27">
        <f>H93+H96</f>
        <v>358557.03423388122</v>
      </c>
      <c r="I90" s="28">
        <f t="shared" ref="I90:Q90" si="6">I93+I96</f>
        <v>318219.36788256955</v>
      </c>
      <c r="J90" s="28">
        <f t="shared" si="6"/>
        <v>0</v>
      </c>
      <c r="K90" s="28">
        <f t="shared" si="6"/>
        <v>0</v>
      </c>
      <c r="L90" s="28">
        <f t="shared" si="6"/>
        <v>0</v>
      </c>
      <c r="M90" s="28">
        <f t="shared" si="6"/>
        <v>0</v>
      </c>
      <c r="N90" s="28">
        <f t="shared" si="6"/>
        <v>0</v>
      </c>
      <c r="O90" s="28">
        <f t="shared" si="6"/>
        <v>10288649.781563077</v>
      </c>
      <c r="P90" s="28">
        <f t="shared" si="6"/>
        <v>0</v>
      </c>
      <c r="Q90" s="29">
        <f t="shared" si="6"/>
        <v>10965426.183679529</v>
      </c>
    </row>
    <row r="91" spans="3:17" s="21" customFormat="1" ht="12" x14ac:dyDescent="0.2">
      <c r="G91" s="22"/>
      <c r="H91" s="38">
        <f>H94+H97</f>
        <v>568448.51</v>
      </c>
      <c r="I91" s="37">
        <f t="shared" ref="I91:Q91" si="7">I94+I97</f>
        <v>605.13</v>
      </c>
      <c r="J91" s="37">
        <f t="shared" si="7"/>
        <v>0</v>
      </c>
      <c r="K91" s="37">
        <f t="shared" si="7"/>
        <v>174</v>
      </c>
      <c r="L91" s="37">
        <f t="shared" si="7"/>
        <v>0</v>
      </c>
      <c r="M91" s="37">
        <f t="shared" si="7"/>
        <v>14.23</v>
      </c>
      <c r="N91" s="37">
        <f t="shared" si="7"/>
        <v>0</v>
      </c>
      <c r="O91" s="37">
        <f t="shared" si="7"/>
        <v>6442339.71</v>
      </c>
      <c r="P91" s="37">
        <f t="shared" si="7"/>
        <v>0</v>
      </c>
      <c r="Q91" s="39">
        <f t="shared" si="7"/>
        <v>7011581.5800000001</v>
      </c>
    </row>
    <row r="92" spans="3:17" x14ac:dyDescent="0.2">
      <c r="H92" s="40"/>
      <c r="I92" s="41"/>
      <c r="J92" s="41"/>
      <c r="K92" s="41"/>
      <c r="L92" s="41"/>
      <c r="M92" s="41"/>
      <c r="N92" s="41"/>
      <c r="O92" s="41"/>
      <c r="P92" s="41"/>
      <c r="Q92" s="42"/>
    </row>
    <row r="93" spans="3:17" s="2" customFormat="1" x14ac:dyDescent="0.2">
      <c r="C93" s="2" t="s">
        <v>47</v>
      </c>
      <c r="F93" s="2" t="s">
        <v>48</v>
      </c>
      <c r="G93" s="9"/>
      <c r="H93" s="43">
        <v>96952.212323283762</v>
      </c>
      <c r="I93" s="44">
        <v>86045.088436914346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2339840.7815630781</v>
      </c>
      <c r="P93" s="44">
        <v>0</v>
      </c>
      <c r="Q93" s="45">
        <v>2522838.082323276</v>
      </c>
    </row>
    <row r="94" spans="3:17" s="23" customFormat="1" ht="12" x14ac:dyDescent="0.2">
      <c r="G94" s="24"/>
      <c r="H94" s="46">
        <v>169847.74</v>
      </c>
      <c r="I94" s="47">
        <v>605.13</v>
      </c>
      <c r="J94" s="47">
        <v>0</v>
      </c>
      <c r="K94" s="47">
        <v>174</v>
      </c>
      <c r="L94" s="47">
        <v>0</v>
      </c>
      <c r="M94" s="47">
        <v>0</v>
      </c>
      <c r="N94" s="47">
        <v>0</v>
      </c>
      <c r="O94" s="47">
        <v>1096993.96</v>
      </c>
      <c r="P94" s="47">
        <v>0</v>
      </c>
      <c r="Q94" s="48">
        <v>1267620.8299999998</v>
      </c>
    </row>
    <row r="95" spans="3:17" s="2" customFormat="1" x14ac:dyDescent="0.2">
      <c r="G95" s="9"/>
      <c r="H95" s="43"/>
      <c r="I95" s="44"/>
      <c r="J95" s="44"/>
      <c r="K95" s="44"/>
      <c r="L95" s="44"/>
      <c r="M95" s="44"/>
      <c r="N95" s="44"/>
      <c r="O95" s="44"/>
      <c r="P95" s="44"/>
      <c r="Q95" s="45"/>
    </row>
    <row r="96" spans="3:17" s="2" customFormat="1" x14ac:dyDescent="0.2">
      <c r="C96" s="2" t="s">
        <v>47</v>
      </c>
      <c r="F96" s="2" t="s">
        <v>49</v>
      </c>
      <c r="G96" s="9"/>
      <c r="H96" s="43">
        <v>261604.82191059744</v>
      </c>
      <c r="I96" s="44">
        <v>232174.27944565524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7948809</v>
      </c>
      <c r="P96" s="44"/>
      <c r="Q96" s="45">
        <v>8442588.101356253</v>
      </c>
    </row>
    <row r="97" spans="3:17" s="23" customFormat="1" ht="12" x14ac:dyDescent="0.2">
      <c r="G97" s="24"/>
      <c r="H97" s="49">
        <v>398600.77</v>
      </c>
      <c r="I97" s="50">
        <v>0</v>
      </c>
      <c r="J97" s="50">
        <v>0</v>
      </c>
      <c r="K97" s="50">
        <v>0</v>
      </c>
      <c r="L97" s="50">
        <v>0</v>
      </c>
      <c r="M97" s="50">
        <v>14.23</v>
      </c>
      <c r="N97" s="50">
        <v>0</v>
      </c>
      <c r="O97" s="50">
        <v>5345345.75</v>
      </c>
      <c r="P97" s="50">
        <v>0</v>
      </c>
      <c r="Q97" s="51">
        <v>5743960.75</v>
      </c>
    </row>
    <row r="99" spans="3:17" x14ac:dyDescent="0.2">
      <c r="C99" t="s">
        <v>50</v>
      </c>
      <c r="E99" t="s">
        <v>51</v>
      </c>
      <c r="H99" s="27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/>
      <c r="Q99" s="29">
        <v>0</v>
      </c>
    </row>
    <row r="100" spans="3:17" s="21" customFormat="1" ht="12" x14ac:dyDescent="0.2">
      <c r="G100" s="22"/>
      <c r="H100" s="30"/>
      <c r="I100" s="31"/>
      <c r="J100" s="31"/>
      <c r="K100" s="31"/>
      <c r="L100" s="31"/>
      <c r="M100" s="31"/>
      <c r="N100" s="31"/>
      <c r="O100" s="31"/>
      <c r="P100" s="31"/>
      <c r="Q100" s="32"/>
    </row>
    <row r="102" spans="3:17" x14ac:dyDescent="0.2">
      <c r="C102" t="s">
        <v>52</v>
      </c>
      <c r="E102" t="s">
        <v>53</v>
      </c>
      <c r="H102" s="27">
        <f>H105+H108+H111+H114+H117+H120</f>
        <v>349651.51749999996</v>
      </c>
      <c r="I102" s="28">
        <f t="shared" ref="I102:Q102" si="8">I105+I108+I111+I114+I117+I120</f>
        <v>313986.94485249999</v>
      </c>
      <c r="J102" s="28">
        <f t="shared" si="8"/>
        <v>147500</v>
      </c>
      <c r="K102" s="28">
        <f t="shared" si="8"/>
        <v>30475</v>
      </c>
      <c r="L102" s="28">
        <f t="shared" si="8"/>
        <v>728943.13</v>
      </c>
      <c r="M102" s="28">
        <f t="shared" si="8"/>
        <v>11740</v>
      </c>
      <c r="N102" s="28">
        <f t="shared" si="8"/>
        <v>764695.5</v>
      </c>
      <c r="O102" s="28">
        <f t="shared" si="8"/>
        <v>5788279.8850000016</v>
      </c>
      <c r="P102" s="28">
        <f t="shared" si="8"/>
        <v>0</v>
      </c>
      <c r="Q102" s="29">
        <f t="shared" si="8"/>
        <v>8135271.8461025013</v>
      </c>
    </row>
    <row r="103" spans="3:17" s="21" customFormat="1" ht="12" x14ac:dyDescent="0.2">
      <c r="G103" s="22"/>
      <c r="H103" s="38">
        <f>H106+H109+H112+H115+H118+H121</f>
        <v>217096.59999999998</v>
      </c>
      <c r="I103" s="37">
        <f t="shared" ref="I103:P103" si="9">I106+I109+I112+I115+I118+I121</f>
        <v>206910.11000000002</v>
      </c>
      <c r="J103" s="37">
        <f t="shared" si="9"/>
        <v>9360.380000000001</v>
      </c>
      <c r="K103" s="37">
        <f t="shared" si="9"/>
        <v>11708.32</v>
      </c>
      <c r="L103" s="37">
        <f t="shared" si="9"/>
        <v>843677.04999999993</v>
      </c>
      <c r="M103" s="37">
        <f t="shared" si="9"/>
        <v>3256.0600000000004</v>
      </c>
      <c r="N103" s="37">
        <f t="shared" si="9"/>
        <v>772.5</v>
      </c>
      <c r="O103" s="37">
        <f t="shared" si="9"/>
        <v>5320813.88</v>
      </c>
      <c r="P103" s="37">
        <f t="shared" si="9"/>
        <v>0</v>
      </c>
      <c r="Q103" s="39">
        <f>Q106+Q109+Q112+Q115+Q118+Q121</f>
        <v>6613594.8999999994</v>
      </c>
    </row>
    <row r="104" spans="3:17" x14ac:dyDescent="0.2">
      <c r="H104" s="40"/>
      <c r="I104" s="41"/>
      <c r="J104" s="41"/>
      <c r="K104" s="41"/>
      <c r="L104" s="41"/>
      <c r="M104" s="41"/>
      <c r="N104" s="41"/>
      <c r="O104" s="41"/>
      <c r="P104" s="41"/>
      <c r="Q104" s="42"/>
    </row>
    <row r="105" spans="3:17" s="2" customFormat="1" x14ac:dyDescent="0.2">
      <c r="C105" s="2" t="s">
        <v>52</v>
      </c>
      <c r="F105" s="2" t="s">
        <v>124</v>
      </c>
      <c r="G105" s="9"/>
      <c r="H105" s="43">
        <f>72515.8675+19438</f>
        <v>91953.867499999993</v>
      </c>
      <c r="I105" s="44">
        <v>82574.124014999979</v>
      </c>
      <c r="J105" s="44">
        <v>50000</v>
      </c>
      <c r="K105" s="44">
        <v>6750</v>
      </c>
      <c r="L105" s="44">
        <v>182963</v>
      </c>
      <c r="M105" s="44">
        <v>3000</v>
      </c>
      <c r="N105" s="44">
        <v>500</v>
      </c>
      <c r="O105" s="44">
        <v>803490</v>
      </c>
      <c r="P105" s="44">
        <v>0</v>
      </c>
      <c r="Q105" s="45">
        <v>1221230.4915149999</v>
      </c>
    </row>
    <row r="106" spans="3:17" s="23" customFormat="1" ht="12" x14ac:dyDescent="0.2">
      <c r="G106" s="24"/>
      <c r="H106" s="46">
        <v>46005.39</v>
      </c>
      <c r="I106" s="47">
        <v>44131.16</v>
      </c>
      <c r="J106" s="47">
        <v>0</v>
      </c>
      <c r="K106" s="47">
        <v>1974.98</v>
      </c>
      <c r="L106" s="47">
        <v>61113.22</v>
      </c>
      <c r="M106" s="47">
        <v>0</v>
      </c>
      <c r="N106" s="47">
        <v>0</v>
      </c>
      <c r="O106" s="47">
        <v>1566362.92</v>
      </c>
      <c r="P106" s="47">
        <v>0</v>
      </c>
      <c r="Q106" s="48">
        <v>1719587.6699999997</v>
      </c>
    </row>
    <row r="107" spans="3:17" s="2" customFormat="1" x14ac:dyDescent="0.2">
      <c r="G107" s="9"/>
      <c r="H107" s="43"/>
      <c r="I107" s="44"/>
      <c r="J107" s="44"/>
      <c r="K107" s="44"/>
      <c r="L107" s="44"/>
      <c r="M107" s="44"/>
      <c r="N107" s="44"/>
      <c r="O107" s="44"/>
      <c r="P107" s="44"/>
      <c r="Q107" s="45"/>
    </row>
    <row r="108" spans="3:17" s="2" customFormat="1" x14ac:dyDescent="0.2">
      <c r="C108" s="2" t="s">
        <v>52</v>
      </c>
      <c r="F108" s="2" t="s">
        <v>54</v>
      </c>
      <c r="G108" s="9"/>
      <c r="H108" s="43">
        <f>27869.7+6560</f>
        <v>34429.699999999997</v>
      </c>
      <c r="I108" s="44">
        <v>30917.870599999995</v>
      </c>
      <c r="J108" s="44">
        <v>15000</v>
      </c>
      <c r="K108" s="44">
        <v>5225</v>
      </c>
      <c r="L108" s="44">
        <v>1200</v>
      </c>
      <c r="M108" s="44">
        <v>240</v>
      </c>
      <c r="N108" s="44">
        <v>0</v>
      </c>
      <c r="O108" s="44">
        <v>148190</v>
      </c>
      <c r="P108" s="44">
        <v>0</v>
      </c>
      <c r="Q108" s="45">
        <v>235202.57059999998</v>
      </c>
    </row>
    <row r="109" spans="3:17" s="23" customFormat="1" ht="12" x14ac:dyDescent="0.2">
      <c r="G109" s="24"/>
      <c r="H109" s="46">
        <v>18437.09</v>
      </c>
      <c r="I109" s="47">
        <v>17547.189999999999</v>
      </c>
      <c r="J109" s="47">
        <v>13.75</v>
      </c>
      <c r="K109" s="47">
        <v>1813.64</v>
      </c>
      <c r="L109" s="47">
        <v>610.37</v>
      </c>
      <c r="M109" s="47">
        <v>343.12</v>
      </c>
      <c r="N109" s="47">
        <v>367.5</v>
      </c>
      <c r="O109" s="47">
        <v>116370</v>
      </c>
      <c r="P109" s="47">
        <v>0</v>
      </c>
      <c r="Q109" s="48">
        <v>155502.66</v>
      </c>
    </row>
    <row r="110" spans="3:17" s="2" customFormat="1" x14ac:dyDescent="0.2">
      <c r="G110" s="9"/>
      <c r="H110" s="43"/>
      <c r="I110" s="44"/>
      <c r="J110" s="44"/>
      <c r="K110" s="44"/>
      <c r="L110" s="44"/>
      <c r="M110" s="44"/>
      <c r="N110" s="44"/>
      <c r="O110" s="44"/>
      <c r="P110" s="44"/>
      <c r="Q110" s="45"/>
    </row>
    <row r="111" spans="3:17" s="2" customFormat="1" x14ac:dyDescent="0.2">
      <c r="C111" s="2" t="s">
        <v>52</v>
      </c>
      <c r="F111" s="2" t="s">
        <v>55</v>
      </c>
      <c r="G111" s="9"/>
      <c r="H111" s="43">
        <f>60384.35+4100</f>
        <v>64484.35</v>
      </c>
      <c r="I111" s="44">
        <v>57906.946299999996</v>
      </c>
      <c r="J111" s="44">
        <v>42500</v>
      </c>
      <c r="K111" s="44">
        <v>5000</v>
      </c>
      <c r="L111" s="44">
        <v>258595.13</v>
      </c>
      <c r="M111" s="44">
        <v>5000</v>
      </c>
      <c r="N111" s="44">
        <v>1000</v>
      </c>
      <c r="O111" s="44">
        <v>730500</v>
      </c>
      <c r="P111" s="44">
        <v>0</v>
      </c>
      <c r="Q111" s="45">
        <v>1164986.4262999999</v>
      </c>
    </row>
    <row r="112" spans="3:17" s="23" customFormat="1" ht="12" x14ac:dyDescent="0.2">
      <c r="G112" s="24"/>
      <c r="H112" s="46">
        <v>38840.620000000003</v>
      </c>
      <c r="I112" s="47">
        <v>36992.629999999997</v>
      </c>
      <c r="J112" s="47">
        <v>0</v>
      </c>
      <c r="K112" s="47">
        <v>909.95</v>
      </c>
      <c r="L112" s="47">
        <v>152701.63</v>
      </c>
      <c r="M112" s="47">
        <v>0</v>
      </c>
      <c r="N112" s="47">
        <v>93.75</v>
      </c>
      <c r="O112" s="47">
        <v>573145.01</v>
      </c>
      <c r="P112" s="47">
        <v>0</v>
      </c>
      <c r="Q112" s="48">
        <v>802683.59</v>
      </c>
    </row>
    <row r="113" spans="3:17" s="2" customFormat="1" x14ac:dyDescent="0.2">
      <c r="G113" s="9"/>
      <c r="H113" s="43"/>
      <c r="I113" s="44"/>
      <c r="J113" s="44"/>
      <c r="K113" s="44"/>
      <c r="L113" s="44"/>
      <c r="M113" s="44"/>
      <c r="N113" s="44"/>
      <c r="O113" s="44"/>
      <c r="P113" s="44"/>
      <c r="Q113" s="45"/>
    </row>
    <row r="114" spans="3:17" s="2" customFormat="1" x14ac:dyDescent="0.2">
      <c r="C114" s="2" t="s">
        <v>52</v>
      </c>
      <c r="F114" s="2" t="s">
        <v>56</v>
      </c>
      <c r="G114" s="9"/>
      <c r="H114" s="43">
        <v>20437.780000000002</v>
      </c>
      <c r="I114" s="44">
        <v>18353.12644</v>
      </c>
      <c r="J114" s="44">
        <v>0</v>
      </c>
      <c r="K114" s="44">
        <v>0</v>
      </c>
      <c r="L114" s="44">
        <v>10185</v>
      </c>
      <c r="M114" s="44">
        <v>0</v>
      </c>
      <c r="N114" s="44">
        <v>152775</v>
      </c>
      <c r="O114" s="44">
        <v>412054.92500000022</v>
      </c>
      <c r="P114" s="44">
        <v>0</v>
      </c>
      <c r="Q114" s="45">
        <v>613805.83144000021</v>
      </c>
    </row>
    <row r="115" spans="3:17" s="23" customFormat="1" ht="12" x14ac:dyDescent="0.2">
      <c r="G115" s="24"/>
      <c r="H115" s="46">
        <v>166.76</v>
      </c>
      <c r="I115" s="47">
        <v>157.08000000000001</v>
      </c>
      <c r="J115" s="47">
        <v>573.79</v>
      </c>
      <c r="K115" s="47">
        <v>560.48</v>
      </c>
      <c r="L115" s="47">
        <v>21677.24</v>
      </c>
      <c r="M115" s="47">
        <v>362.82</v>
      </c>
      <c r="N115" s="47">
        <v>0</v>
      </c>
      <c r="O115" s="47">
        <v>139490.23999999999</v>
      </c>
      <c r="P115" s="47">
        <v>0</v>
      </c>
      <c r="Q115" s="48">
        <v>162988.41</v>
      </c>
    </row>
    <row r="116" spans="3:17" s="2" customFormat="1" x14ac:dyDescent="0.2">
      <c r="G116" s="9"/>
      <c r="H116" s="43"/>
      <c r="I116" s="44"/>
      <c r="J116" s="44"/>
      <c r="K116" s="44"/>
      <c r="L116" s="44"/>
      <c r="M116" s="44"/>
      <c r="N116" s="44"/>
      <c r="O116" s="44"/>
      <c r="P116" s="44"/>
      <c r="Q116" s="45"/>
    </row>
    <row r="117" spans="3:17" s="2" customFormat="1" x14ac:dyDescent="0.2">
      <c r="C117" s="2" t="s">
        <v>52</v>
      </c>
      <c r="F117" s="2" t="s">
        <v>57</v>
      </c>
      <c r="G117" s="9"/>
      <c r="H117" s="43">
        <f>27869.7+23805</f>
        <v>51674.7</v>
      </c>
      <c r="I117" s="44">
        <v>46404.211737499994</v>
      </c>
      <c r="J117" s="44">
        <v>10000</v>
      </c>
      <c r="K117" s="44">
        <v>10000</v>
      </c>
      <c r="L117" s="44">
        <v>222000</v>
      </c>
      <c r="M117" s="44">
        <v>1000</v>
      </c>
      <c r="N117" s="44">
        <v>0</v>
      </c>
      <c r="O117" s="44">
        <v>1366053.3499999999</v>
      </c>
      <c r="P117" s="44">
        <v>0</v>
      </c>
      <c r="Q117" s="45">
        <v>1707132.6304874998</v>
      </c>
    </row>
    <row r="118" spans="3:17" s="23" customFormat="1" ht="12" x14ac:dyDescent="0.2">
      <c r="G118" s="24"/>
      <c r="H118" s="46">
        <v>42851</v>
      </c>
      <c r="I118" s="47">
        <v>40630.46</v>
      </c>
      <c r="J118" s="47">
        <v>658.75</v>
      </c>
      <c r="K118" s="47">
        <v>1938.9</v>
      </c>
      <c r="L118" s="47">
        <v>265810.73</v>
      </c>
      <c r="M118" s="47">
        <v>47.86</v>
      </c>
      <c r="N118" s="47">
        <v>311.25</v>
      </c>
      <c r="O118" s="47">
        <v>481614.34</v>
      </c>
      <c r="P118" s="47">
        <v>0</v>
      </c>
      <c r="Q118" s="48">
        <v>833863.28999999992</v>
      </c>
    </row>
    <row r="119" spans="3:17" s="2" customFormat="1" x14ac:dyDescent="0.2">
      <c r="G119" s="9"/>
      <c r="H119" s="43"/>
      <c r="I119" s="44"/>
      <c r="J119" s="44"/>
      <c r="K119" s="44"/>
      <c r="L119" s="44"/>
      <c r="M119" s="44"/>
      <c r="N119" s="44"/>
      <c r="O119" s="95"/>
      <c r="P119" s="44"/>
      <c r="Q119" s="45"/>
    </row>
    <row r="120" spans="3:17" s="2" customFormat="1" x14ac:dyDescent="0.2">
      <c r="C120" s="2" t="s">
        <v>52</v>
      </c>
      <c r="F120" s="2" t="s">
        <v>58</v>
      </c>
      <c r="G120" s="9"/>
      <c r="H120" s="43">
        <f>81751.12+4920</f>
        <v>86671.12</v>
      </c>
      <c r="I120" s="44">
        <v>77830.665759999989</v>
      </c>
      <c r="J120" s="44">
        <v>30000</v>
      </c>
      <c r="K120" s="44">
        <v>3500</v>
      </c>
      <c r="L120" s="44">
        <v>54000</v>
      </c>
      <c r="M120" s="44">
        <v>2500</v>
      </c>
      <c r="N120" s="44">
        <v>610420.5</v>
      </c>
      <c r="O120" s="44">
        <v>2327991.6100000008</v>
      </c>
      <c r="P120" s="44">
        <v>0</v>
      </c>
      <c r="Q120" s="45">
        <v>3192913.8957600007</v>
      </c>
    </row>
    <row r="121" spans="3:17" s="23" customFormat="1" ht="12" x14ac:dyDescent="0.2">
      <c r="G121" s="24"/>
      <c r="H121" s="49">
        <v>70795.740000000005</v>
      </c>
      <c r="I121" s="50">
        <v>67451.59</v>
      </c>
      <c r="J121" s="50">
        <v>8114.09</v>
      </c>
      <c r="K121" s="50">
        <v>4510.37</v>
      </c>
      <c r="L121" s="50">
        <v>341763.86</v>
      </c>
      <c r="M121" s="50">
        <v>2502.2600000000002</v>
      </c>
      <c r="N121" s="50">
        <v>0</v>
      </c>
      <c r="O121" s="50">
        <v>2443831.37</v>
      </c>
      <c r="P121" s="50">
        <v>0</v>
      </c>
      <c r="Q121" s="51">
        <v>2938969.28</v>
      </c>
    </row>
    <row r="123" spans="3:17" s="3" customFormat="1" x14ac:dyDescent="0.2">
      <c r="G123" s="6" t="s">
        <v>59</v>
      </c>
      <c r="H123" s="4">
        <f>H66+H75+H78+H90+H99+H102</f>
        <v>3158848.4475000002</v>
      </c>
      <c r="I123" s="4">
        <f t="shared" ref="I123:Q123" si="10">I66+I75+I78+I90+I99+I102</f>
        <v>2558456.5088795898</v>
      </c>
      <c r="J123" s="4">
        <f t="shared" si="10"/>
        <v>245285</v>
      </c>
      <c r="K123" s="4">
        <f t="shared" si="10"/>
        <v>158337</v>
      </c>
      <c r="L123" s="4">
        <f t="shared" si="10"/>
        <v>3048279.13</v>
      </c>
      <c r="M123" s="4">
        <f t="shared" si="10"/>
        <v>49933</v>
      </c>
      <c r="N123" s="4">
        <f t="shared" si="10"/>
        <v>796695.5</v>
      </c>
      <c r="O123" s="4">
        <f t="shared" si="10"/>
        <v>32565679.666563079</v>
      </c>
      <c r="P123" s="4">
        <f t="shared" si="10"/>
        <v>0</v>
      </c>
      <c r="Q123" s="4">
        <f t="shared" si="10"/>
        <v>42546413.901692666</v>
      </c>
    </row>
    <row r="124" spans="3:17" s="21" customFormat="1" ht="12" x14ac:dyDescent="0.2">
      <c r="G124" s="19" t="s">
        <v>133</v>
      </c>
      <c r="H124" s="20">
        <f>H67+H76+H79+H91+H99+H103</f>
        <v>2636794.98</v>
      </c>
      <c r="I124" s="20">
        <f t="shared" ref="I124:Q124" si="11">I67+I76+I79+I91+I99+I103</f>
        <v>2501632.65</v>
      </c>
      <c r="J124" s="20">
        <f t="shared" si="11"/>
        <v>20918.21</v>
      </c>
      <c r="K124" s="20">
        <f t="shared" si="11"/>
        <v>82723.709999999992</v>
      </c>
      <c r="L124" s="20">
        <f t="shared" si="11"/>
        <v>2160294.06</v>
      </c>
      <c r="M124" s="20">
        <f t="shared" si="11"/>
        <v>21033.86</v>
      </c>
      <c r="N124" s="20">
        <f t="shared" si="11"/>
        <v>50305.52</v>
      </c>
      <c r="O124" s="20">
        <f t="shared" si="11"/>
        <v>32954449.479999997</v>
      </c>
      <c r="P124" s="20">
        <f t="shared" si="11"/>
        <v>0</v>
      </c>
      <c r="Q124" s="20">
        <f t="shared" si="11"/>
        <v>40428152.469999999</v>
      </c>
    </row>
    <row r="126" spans="3:17" x14ac:dyDescent="0.2">
      <c r="C126" t="s">
        <v>60</v>
      </c>
    </row>
    <row r="127" spans="3:17" x14ac:dyDescent="0.2">
      <c r="G127" s="18" t="s">
        <v>131</v>
      </c>
    </row>
    <row r="128" spans="3:17" x14ac:dyDescent="0.2">
      <c r="C128" t="s">
        <v>61</v>
      </c>
      <c r="E128" t="s">
        <v>62</v>
      </c>
      <c r="H128" s="27">
        <f>46650+7775</f>
        <v>54425</v>
      </c>
      <c r="I128" s="28">
        <v>48873.649999999994</v>
      </c>
      <c r="J128" s="28">
        <v>22950</v>
      </c>
      <c r="K128" s="28">
        <v>4000</v>
      </c>
      <c r="L128" s="28">
        <v>422521</v>
      </c>
      <c r="M128" s="28">
        <v>2000</v>
      </c>
      <c r="N128" s="28">
        <v>1000</v>
      </c>
      <c r="O128" s="28">
        <v>422521</v>
      </c>
      <c r="P128" s="28">
        <v>0</v>
      </c>
      <c r="Q128" s="29">
        <v>978290.65</v>
      </c>
    </row>
    <row r="129" spans="3:17" s="21" customFormat="1" ht="12" x14ac:dyDescent="0.2">
      <c r="G129" s="22"/>
      <c r="H129" s="30">
        <v>30720.81</v>
      </c>
      <c r="I129" s="31">
        <v>29282.92</v>
      </c>
      <c r="J129" s="31">
        <v>0</v>
      </c>
      <c r="K129" s="31">
        <v>392.98</v>
      </c>
      <c r="L129" s="31">
        <v>1394712.9</v>
      </c>
      <c r="M129" s="31">
        <v>0</v>
      </c>
      <c r="N129" s="31">
        <v>0</v>
      </c>
      <c r="O129" s="31">
        <v>714220.76</v>
      </c>
      <c r="P129" s="31">
        <v>0</v>
      </c>
      <c r="Q129" s="32">
        <v>2169330.37</v>
      </c>
    </row>
    <row r="131" spans="3:17" x14ac:dyDescent="0.2">
      <c r="C131" t="s">
        <v>61</v>
      </c>
      <c r="E131" t="s">
        <v>63</v>
      </c>
      <c r="H131" s="27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9">
        <v>0</v>
      </c>
    </row>
    <row r="132" spans="3:17" s="21" customFormat="1" ht="12" x14ac:dyDescent="0.2">
      <c r="G132" s="22"/>
      <c r="H132" s="30"/>
      <c r="I132" s="31"/>
      <c r="J132" s="31"/>
      <c r="K132" s="31"/>
      <c r="L132" s="31"/>
      <c r="M132" s="31"/>
      <c r="N132" s="31"/>
      <c r="O132" s="31"/>
      <c r="P132" s="31"/>
      <c r="Q132" s="32"/>
    </row>
    <row r="134" spans="3:17" s="3" customFormat="1" x14ac:dyDescent="0.2">
      <c r="G134" s="6" t="s">
        <v>64</v>
      </c>
      <c r="H134" s="4">
        <f>H128+H131</f>
        <v>54425</v>
      </c>
      <c r="I134" s="4">
        <f t="shared" ref="I134:P134" si="12">I128+I131</f>
        <v>48873.649999999994</v>
      </c>
      <c r="J134" s="4">
        <f t="shared" si="12"/>
        <v>22950</v>
      </c>
      <c r="K134" s="4">
        <f t="shared" si="12"/>
        <v>4000</v>
      </c>
      <c r="L134" s="4">
        <f t="shared" si="12"/>
        <v>422521</v>
      </c>
      <c r="M134" s="4">
        <f t="shared" si="12"/>
        <v>2000</v>
      </c>
      <c r="N134" s="4">
        <f t="shared" si="12"/>
        <v>1000</v>
      </c>
      <c r="O134" s="4">
        <f t="shared" si="12"/>
        <v>422521</v>
      </c>
      <c r="P134" s="4">
        <f t="shared" si="12"/>
        <v>0</v>
      </c>
      <c r="Q134" s="4">
        <f>SUM(H134:P134)</f>
        <v>978290.65</v>
      </c>
    </row>
    <row r="135" spans="3:17" s="21" customFormat="1" ht="12" x14ac:dyDescent="0.2">
      <c r="G135" s="19" t="s">
        <v>133</v>
      </c>
      <c r="H135" s="20">
        <f>H129+H132</f>
        <v>30720.81</v>
      </c>
      <c r="I135" s="20">
        <f t="shared" ref="I135:Q135" si="13">I129+I132</f>
        <v>29282.92</v>
      </c>
      <c r="J135" s="20">
        <f t="shared" si="13"/>
        <v>0</v>
      </c>
      <c r="K135" s="20">
        <f t="shared" si="13"/>
        <v>392.98</v>
      </c>
      <c r="L135" s="20">
        <f t="shared" si="13"/>
        <v>1394712.9</v>
      </c>
      <c r="M135" s="20">
        <f t="shared" si="13"/>
        <v>0</v>
      </c>
      <c r="N135" s="20">
        <f t="shared" si="13"/>
        <v>0</v>
      </c>
      <c r="O135" s="20">
        <f t="shared" si="13"/>
        <v>714220.76</v>
      </c>
      <c r="P135" s="20">
        <f t="shared" si="13"/>
        <v>0</v>
      </c>
      <c r="Q135" s="20">
        <f t="shared" si="13"/>
        <v>2169330.37</v>
      </c>
    </row>
    <row r="138" spans="3:17" x14ac:dyDescent="0.2">
      <c r="C138" t="s">
        <v>65</v>
      </c>
    </row>
    <row r="139" spans="3:17" x14ac:dyDescent="0.2">
      <c r="G139" s="18" t="s">
        <v>131</v>
      </c>
    </row>
    <row r="140" spans="3:17" x14ac:dyDescent="0.2">
      <c r="C140" t="s">
        <v>66</v>
      </c>
      <c r="E140" t="s">
        <v>67</v>
      </c>
      <c r="H140" s="27">
        <v>0</v>
      </c>
      <c r="I140" s="28">
        <v>0</v>
      </c>
      <c r="J140" s="28">
        <v>0</v>
      </c>
      <c r="K140" s="28">
        <v>0</v>
      </c>
      <c r="L140" s="28">
        <v>1560000</v>
      </c>
      <c r="M140" s="28">
        <v>0</v>
      </c>
      <c r="N140" s="28">
        <v>0</v>
      </c>
      <c r="O140" s="28">
        <v>3640000</v>
      </c>
      <c r="P140" s="28"/>
      <c r="Q140" s="29">
        <v>5200000</v>
      </c>
    </row>
    <row r="141" spans="3:17" s="21" customFormat="1" ht="12" x14ac:dyDescent="0.2">
      <c r="G141" s="22"/>
      <c r="H141" s="30">
        <v>9058.89</v>
      </c>
      <c r="I141" s="31">
        <v>7913.53</v>
      </c>
      <c r="J141" s="31">
        <v>0</v>
      </c>
      <c r="K141" s="31">
        <v>986.08</v>
      </c>
      <c r="L141" s="31">
        <v>3127871.69</v>
      </c>
      <c r="M141" s="31">
        <v>0</v>
      </c>
      <c r="N141" s="31">
        <v>0</v>
      </c>
      <c r="O141" s="31">
        <v>886849.32</v>
      </c>
      <c r="P141" s="31">
        <v>0</v>
      </c>
      <c r="Q141" s="32">
        <v>4032679.51</v>
      </c>
    </row>
    <row r="143" spans="3:17" x14ac:dyDescent="0.2">
      <c r="C143" t="s">
        <v>68</v>
      </c>
      <c r="E143" t="s">
        <v>69</v>
      </c>
      <c r="H143" s="27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/>
      <c r="Q143" s="29">
        <v>0</v>
      </c>
    </row>
    <row r="144" spans="3:17" s="21" customFormat="1" ht="12" x14ac:dyDescent="0.2">
      <c r="G144" s="22"/>
      <c r="H144" s="30"/>
      <c r="I144" s="31"/>
      <c r="J144" s="31"/>
      <c r="K144" s="31"/>
      <c r="L144" s="31"/>
      <c r="M144" s="31"/>
      <c r="N144" s="31"/>
      <c r="O144" s="31"/>
      <c r="P144" s="31"/>
      <c r="Q144" s="32"/>
    </row>
    <row r="146" spans="3:20" s="3" customFormat="1" x14ac:dyDescent="0.2">
      <c r="G146" s="6" t="s">
        <v>70</v>
      </c>
      <c r="H146" s="4">
        <v>0</v>
      </c>
      <c r="I146" s="4">
        <v>0</v>
      </c>
      <c r="J146" s="4">
        <v>0</v>
      </c>
      <c r="K146" s="4">
        <v>0</v>
      </c>
      <c r="L146" s="4">
        <v>1560000</v>
      </c>
      <c r="M146" s="4">
        <v>0</v>
      </c>
      <c r="N146" s="4">
        <v>0</v>
      </c>
      <c r="O146" s="4">
        <v>3640000</v>
      </c>
      <c r="P146" s="4">
        <v>0</v>
      </c>
      <c r="Q146" s="4">
        <v>5200000</v>
      </c>
    </row>
    <row r="147" spans="3:20" s="21" customFormat="1" ht="12" x14ac:dyDescent="0.2">
      <c r="G147" s="19" t="s">
        <v>133</v>
      </c>
      <c r="H147" s="20">
        <f>H141+H144</f>
        <v>9058.89</v>
      </c>
      <c r="I147" s="20">
        <f t="shared" ref="I147:Q147" si="14">I141+I144</f>
        <v>7913.53</v>
      </c>
      <c r="J147" s="20">
        <f t="shared" si="14"/>
        <v>0</v>
      </c>
      <c r="K147" s="20">
        <f t="shared" si="14"/>
        <v>986.08</v>
      </c>
      <c r="L147" s="20">
        <f t="shared" si="14"/>
        <v>3127871.69</v>
      </c>
      <c r="M147" s="20">
        <f t="shared" si="14"/>
        <v>0</v>
      </c>
      <c r="N147" s="20">
        <f t="shared" si="14"/>
        <v>0</v>
      </c>
      <c r="O147" s="20">
        <f t="shared" si="14"/>
        <v>886849.32</v>
      </c>
      <c r="P147" s="20">
        <f t="shared" si="14"/>
        <v>0</v>
      </c>
      <c r="Q147" s="20">
        <f t="shared" si="14"/>
        <v>4032679.51</v>
      </c>
      <c r="S147" s="25" t="s">
        <v>145</v>
      </c>
      <c r="T147" s="81">
        <f>(O62+O124+O135+O147)/(Q62+Q124+Q135+Q147)</f>
        <v>0.79516237023306757</v>
      </c>
    </row>
    <row r="150" spans="3:20" x14ac:dyDescent="0.2">
      <c r="C150" t="s">
        <v>71</v>
      </c>
    </row>
    <row r="151" spans="3:20" x14ac:dyDescent="0.2">
      <c r="G151" s="18" t="s">
        <v>131</v>
      </c>
    </row>
    <row r="152" spans="3:20" x14ac:dyDescent="0.2">
      <c r="C152" t="s">
        <v>72</v>
      </c>
      <c r="E152" t="s">
        <v>73</v>
      </c>
      <c r="H152" s="27">
        <f>H155+H158+H161+H164</f>
        <v>1037672.8544</v>
      </c>
      <c r="I152" s="28">
        <f t="shared" ref="I152:Q152" si="15">I155+I158+I161+I164</f>
        <v>713918.92382719996</v>
      </c>
      <c r="J152" s="28">
        <f t="shared" si="15"/>
        <v>20830</v>
      </c>
      <c r="K152" s="28">
        <f t="shared" si="15"/>
        <v>52720</v>
      </c>
      <c r="L152" s="28">
        <f t="shared" si="15"/>
        <v>69385</v>
      </c>
      <c r="M152" s="28">
        <f t="shared" si="15"/>
        <v>31705</v>
      </c>
      <c r="N152" s="28">
        <f t="shared" si="15"/>
        <v>1350</v>
      </c>
      <c r="O152" s="28">
        <f t="shared" si="15"/>
        <v>0</v>
      </c>
      <c r="P152" s="28">
        <f t="shared" si="15"/>
        <v>0</v>
      </c>
      <c r="Q152" s="29">
        <f t="shared" si="15"/>
        <v>1927581.7782271998</v>
      </c>
    </row>
    <row r="153" spans="3:20" s="21" customFormat="1" ht="12" x14ac:dyDescent="0.2">
      <c r="G153" s="22"/>
      <c r="H153" s="38">
        <f>H156+H159+H162+H165</f>
        <v>801447.08000000007</v>
      </c>
      <c r="I153" s="37">
        <f t="shared" ref="I153:Q153" si="16">I156+I159+I162+I165</f>
        <v>748934.78</v>
      </c>
      <c r="J153" s="37">
        <f t="shared" si="16"/>
        <v>12426.85</v>
      </c>
      <c r="K153" s="37">
        <f t="shared" si="16"/>
        <v>19839.78</v>
      </c>
      <c r="L153" s="37">
        <f t="shared" si="16"/>
        <v>87593.51</v>
      </c>
      <c r="M153" s="37">
        <f t="shared" si="16"/>
        <v>26566.93</v>
      </c>
      <c r="N153" s="37">
        <f t="shared" si="16"/>
        <v>-3103.46</v>
      </c>
      <c r="O153" s="37">
        <f t="shared" si="16"/>
        <v>0</v>
      </c>
      <c r="P153" s="37">
        <f t="shared" si="16"/>
        <v>0</v>
      </c>
      <c r="Q153" s="39">
        <f t="shared" si="16"/>
        <v>1693705.47</v>
      </c>
    </row>
    <row r="154" spans="3:20" x14ac:dyDescent="0.2">
      <c r="H154" s="40"/>
      <c r="I154" s="41"/>
      <c r="J154" s="41"/>
      <c r="K154" s="41"/>
      <c r="L154" s="41"/>
      <c r="M154" s="41"/>
      <c r="N154" s="41"/>
      <c r="O154" s="41"/>
      <c r="P154" s="41"/>
      <c r="Q154" s="42"/>
    </row>
    <row r="155" spans="3:20" s="2" customFormat="1" x14ac:dyDescent="0.2">
      <c r="F155" s="2" t="s">
        <v>74</v>
      </c>
      <c r="G155" s="9"/>
      <c r="H155" s="43">
        <v>662957.44999999995</v>
      </c>
      <c r="I155" s="44">
        <v>456114.72559999995</v>
      </c>
      <c r="J155" s="44">
        <v>0</v>
      </c>
      <c r="K155" s="44">
        <v>44000</v>
      </c>
      <c r="L155" s="44">
        <v>1000</v>
      </c>
      <c r="M155" s="44">
        <v>3000</v>
      </c>
      <c r="N155" s="44">
        <v>1350</v>
      </c>
      <c r="O155" s="44">
        <v>0</v>
      </c>
      <c r="P155" s="44">
        <v>0</v>
      </c>
      <c r="Q155" s="45">
        <v>1168422.1756</v>
      </c>
    </row>
    <row r="156" spans="3:20" s="23" customFormat="1" ht="12" x14ac:dyDescent="0.2">
      <c r="G156" s="24"/>
      <c r="H156" s="46">
        <v>574136.53</v>
      </c>
      <c r="I156" s="47">
        <v>533804.86</v>
      </c>
      <c r="J156" s="47">
        <v>0</v>
      </c>
      <c r="K156" s="47">
        <v>17673.8</v>
      </c>
      <c r="L156" s="47">
        <v>100</v>
      </c>
      <c r="M156" s="47">
        <v>1566.6</v>
      </c>
      <c r="N156" s="47">
        <v>486.29</v>
      </c>
      <c r="O156" s="47">
        <v>0</v>
      </c>
      <c r="P156" s="47">
        <v>0</v>
      </c>
      <c r="Q156" s="48">
        <v>1127768.08</v>
      </c>
    </row>
    <row r="157" spans="3:20" s="2" customFormat="1" x14ac:dyDescent="0.2">
      <c r="G157" s="9"/>
      <c r="H157" s="43"/>
      <c r="I157" s="44"/>
      <c r="J157" s="44"/>
      <c r="K157" s="44"/>
      <c r="L157" s="44"/>
      <c r="M157" s="44"/>
      <c r="N157" s="44"/>
      <c r="O157" s="44"/>
      <c r="P157" s="44"/>
      <c r="Q157" s="45"/>
    </row>
    <row r="158" spans="3:20" s="2" customFormat="1" x14ac:dyDescent="0.2">
      <c r="F158" s="2" t="s">
        <v>75</v>
      </c>
      <c r="G158" s="9"/>
      <c r="H158" s="43">
        <f>335939.81265+2600</f>
        <v>338539.81264999998</v>
      </c>
      <c r="I158" s="44">
        <v>232915.39110319995</v>
      </c>
      <c r="J158" s="44">
        <v>7830</v>
      </c>
      <c r="K158" s="44">
        <v>8720</v>
      </c>
      <c r="L158" s="44">
        <v>56975</v>
      </c>
      <c r="M158" s="44">
        <v>4785</v>
      </c>
      <c r="N158" s="44">
        <v>0</v>
      </c>
      <c r="O158" s="44">
        <v>0</v>
      </c>
      <c r="P158" s="44">
        <v>0</v>
      </c>
      <c r="Q158" s="45">
        <v>649765.20375319989</v>
      </c>
    </row>
    <row r="159" spans="3:20" s="23" customFormat="1" ht="12" x14ac:dyDescent="0.2">
      <c r="G159" s="24"/>
      <c r="H159" s="46">
        <v>211723.55</v>
      </c>
      <c r="I159" s="47">
        <v>200164.79</v>
      </c>
      <c r="J159" s="47">
        <v>2305.5</v>
      </c>
      <c r="K159" s="47">
        <v>2165.98</v>
      </c>
      <c r="L159" s="47">
        <v>87493.51</v>
      </c>
      <c r="M159" s="47">
        <v>1610.24</v>
      </c>
      <c r="N159" s="47">
        <v>-3589.75</v>
      </c>
      <c r="O159" s="47">
        <v>0</v>
      </c>
      <c r="P159" s="47">
        <v>0</v>
      </c>
      <c r="Q159" s="48">
        <v>501873.81999999995</v>
      </c>
    </row>
    <row r="160" spans="3:20" s="2" customFormat="1" x14ac:dyDescent="0.2">
      <c r="G160" s="9"/>
      <c r="H160" s="43"/>
      <c r="I160" s="44"/>
      <c r="J160" s="44"/>
      <c r="K160" s="44"/>
      <c r="L160" s="44"/>
      <c r="M160" s="44"/>
      <c r="N160" s="44"/>
      <c r="O160" s="44"/>
      <c r="P160" s="44"/>
      <c r="Q160" s="45"/>
    </row>
    <row r="161" spans="3:17" s="2" customFormat="1" x14ac:dyDescent="0.2">
      <c r="F161" s="2" t="s">
        <v>76</v>
      </c>
      <c r="G161" s="9"/>
      <c r="H161" s="43">
        <f>16675.59175+19500</f>
        <v>36175.59175</v>
      </c>
      <c r="I161" s="44">
        <v>24888.807123999999</v>
      </c>
      <c r="J161" s="44">
        <v>13000</v>
      </c>
      <c r="K161" s="44">
        <v>0</v>
      </c>
      <c r="L161" s="44">
        <v>2610</v>
      </c>
      <c r="M161" s="44">
        <v>23920</v>
      </c>
      <c r="N161" s="44">
        <v>0</v>
      </c>
      <c r="O161" s="44">
        <v>0</v>
      </c>
      <c r="P161" s="44">
        <v>0</v>
      </c>
      <c r="Q161" s="45">
        <v>100594.39887400001</v>
      </c>
    </row>
    <row r="162" spans="3:17" s="23" customFormat="1" ht="12" x14ac:dyDescent="0.2">
      <c r="G162" s="24"/>
      <c r="H162" s="46">
        <v>15587</v>
      </c>
      <c r="I162" s="47">
        <v>14965.13</v>
      </c>
      <c r="J162" s="47">
        <v>10121.35</v>
      </c>
      <c r="K162" s="47">
        <v>0</v>
      </c>
      <c r="L162" s="47">
        <v>0</v>
      </c>
      <c r="M162" s="47">
        <v>23390.09</v>
      </c>
      <c r="N162" s="47">
        <v>0</v>
      </c>
      <c r="O162" s="47">
        <v>0</v>
      </c>
      <c r="P162" s="47">
        <v>0</v>
      </c>
      <c r="Q162" s="48">
        <v>64063.57</v>
      </c>
    </row>
    <row r="163" spans="3:17" s="2" customFormat="1" x14ac:dyDescent="0.2">
      <c r="G163" s="9"/>
      <c r="H163" s="43"/>
      <c r="I163" s="44"/>
      <c r="J163" s="44"/>
      <c r="K163" s="44"/>
      <c r="L163" s="44"/>
      <c r="M163" s="44"/>
      <c r="N163" s="44"/>
      <c r="O163" s="44"/>
      <c r="P163" s="44"/>
      <c r="Q163" s="45"/>
    </row>
    <row r="164" spans="3:17" s="2" customFormat="1" x14ac:dyDescent="0.2">
      <c r="C164" s="2" t="s">
        <v>77</v>
      </c>
      <c r="F164" s="2" t="s">
        <v>78</v>
      </c>
      <c r="G164" s="9"/>
      <c r="H164" s="43">
        <v>0</v>
      </c>
      <c r="I164" s="44">
        <v>0</v>
      </c>
      <c r="J164" s="44">
        <v>0</v>
      </c>
      <c r="K164" s="44">
        <v>0</v>
      </c>
      <c r="L164" s="44">
        <v>8800</v>
      </c>
      <c r="M164" s="44">
        <v>0</v>
      </c>
      <c r="N164" s="44">
        <v>0</v>
      </c>
      <c r="O164" s="44">
        <v>0</v>
      </c>
      <c r="P164" s="44">
        <v>0</v>
      </c>
      <c r="Q164" s="45">
        <v>8800</v>
      </c>
    </row>
    <row r="165" spans="3:17" s="23" customFormat="1" ht="12" x14ac:dyDescent="0.2">
      <c r="G165" s="24"/>
      <c r="H165" s="49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1">
        <v>0</v>
      </c>
    </row>
    <row r="167" spans="3:17" x14ac:dyDescent="0.2">
      <c r="C167" t="s">
        <v>72</v>
      </c>
      <c r="E167" t="s">
        <v>79</v>
      </c>
      <c r="H167" s="27">
        <f>H170+H179+H182+H185</f>
        <v>598854.48</v>
      </c>
      <c r="I167" s="28">
        <f t="shared" ref="I167:P167" si="17">I170+I179+I182+I185</f>
        <v>483407.78303999995</v>
      </c>
      <c r="J167" s="28">
        <f t="shared" si="17"/>
        <v>0</v>
      </c>
      <c r="K167" s="28">
        <f t="shared" si="17"/>
        <v>30200</v>
      </c>
      <c r="L167" s="28">
        <f t="shared" si="17"/>
        <v>620310</v>
      </c>
      <c r="M167" s="28">
        <f t="shared" si="17"/>
        <v>5000</v>
      </c>
      <c r="N167" s="28">
        <f t="shared" si="17"/>
        <v>0</v>
      </c>
      <c r="O167" s="28">
        <f t="shared" si="17"/>
        <v>0</v>
      </c>
      <c r="P167" s="28">
        <f t="shared" si="17"/>
        <v>0</v>
      </c>
      <c r="Q167" s="29">
        <f>Q170+Q179+Q182</f>
        <v>1190832.7020399999</v>
      </c>
    </row>
    <row r="168" spans="3:17" s="21" customFormat="1" ht="12" x14ac:dyDescent="0.2">
      <c r="G168" s="22"/>
      <c r="H168" s="38">
        <f>H171+H174+H177+H180+H183</f>
        <v>216755.03</v>
      </c>
      <c r="I168" s="37">
        <f>I171+I174+I177+I180+I183</f>
        <v>205404.90000000002</v>
      </c>
      <c r="J168" s="37">
        <f t="shared" ref="J168:Q168" si="18">J171+J174+J177+J180+J183</f>
        <v>0</v>
      </c>
      <c r="K168" s="37">
        <f t="shared" si="18"/>
        <v>1191.83</v>
      </c>
      <c r="L168" s="37">
        <f t="shared" si="18"/>
        <v>299081.53000000003</v>
      </c>
      <c r="M168" s="37">
        <f t="shared" si="18"/>
        <v>24721.64</v>
      </c>
      <c r="N168" s="37">
        <f t="shared" si="18"/>
        <v>0</v>
      </c>
      <c r="O168" s="37">
        <f t="shared" si="18"/>
        <v>0</v>
      </c>
      <c r="P168" s="37">
        <f t="shared" si="18"/>
        <v>-42250</v>
      </c>
      <c r="Q168" s="37">
        <f t="shared" si="18"/>
        <v>704904.92999999993</v>
      </c>
    </row>
    <row r="169" spans="3:17" x14ac:dyDescent="0.2">
      <c r="H169" s="40"/>
      <c r="I169" s="41"/>
      <c r="J169" s="41"/>
      <c r="K169" s="41"/>
      <c r="L169" s="41"/>
      <c r="M169" s="41"/>
      <c r="N169" s="41"/>
      <c r="O169" s="41"/>
      <c r="P169" s="41"/>
      <c r="Q169" s="42"/>
    </row>
    <row r="170" spans="3:17" s="2" customFormat="1" x14ac:dyDescent="0.2">
      <c r="F170" s="2" t="s">
        <v>80</v>
      </c>
      <c r="G170" s="9"/>
      <c r="H170" s="43">
        <v>0</v>
      </c>
      <c r="I170" s="44">
        <v>0</v>
      </c>
      <c r="J170" s="44">
        <v>0</v>
      </c>
      <c r="K170" s="44">
        <v>0</v>
      </c>
      <c r="L170" s="44">
        <v>588990</v>
      </c>
      <c r="M170" s="44">
        <v>0</v>
      </c>
      <c r="N170" s="44">
        <v>0</v>
      </c>
      <c r="O170" s="44">
        <v>0</v>
      </c>
      <c r="P170" s="44"/>
      <c r="Q170" s="45">
        <v>588990</v>
      </c>
    </row>
    <row r="171" spans="3:17" s="23" customFormat="1" ht="12" x14ac:dyDescent="0.2">
      <c r="G171" s="24"/>
      <c r="H171" s="46">
        <v>58829.72</v>
      </c>
      <c r="I171" s="47">
        <v>55728.19</v>
      </c>
      <c r="J171" s="47">
        <v>0</v>
      </c>
      <c r="K171" s="47">
        <v>0</v>
      </c>
      <c r="L171" s="47">
        <v>218727.53</v>
      </c>
      <c r="M171" s="47">
        <v>0</v>
      </c>
      <c r="N171" s="47">
        <v>0</v>
      </c>
      <c r="O171" s="47">
        <v>0</v>
      </c>
      <c r="P171" s="47">
        <v>0</v>
      </c>
      <c r="Q171" s="48">
        <f>SUM(H171:P171)</f>
        <v>333285.44</v>
      </c>
    </row>
    <row r="172" spans="3:17" s="2" customFormat="1" x14ac:dyDescent="0.2">
      <c r="H172" s="43"/>
      <c r="I172" s="44"/>
      <c r="J172" s="44"/>
      <c r="K172" s="44"/>
      <c r="L172" s="44"/>
      <c r="M172" s="44"/>
      <c r="N172" s="44"/>
      <c r="O172" s="86"/>
      <c r="P172" s="44"/>
      <c r="Q172" s="45"/>
    </row>
    <row r="173" spans="3:17" s="2" customFormat="1" x14ac:dyDescent="0.2">
      <c r="F173" s="92" t="s">
        <v>151</v>
      </c>
      <c r="H173" s="43"/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5"/>
    </row>
    <row r="174" spans="3:17" s="23" customFormat="1" ht="12" x14ac:dyDescent="0.2">
      <c r="F174" s="93"/>
      <c r="H174" s="46"/>
      <c r="I174" s="47">
        <v>0</v>
      </c>
      <c r="J174" s="47">
        <v>0</v>
      </c>
      <c r="K174" s="47">
        <v>0</v>
      </c>
      <c r="L174" s="47">
        <v>0</v>
      </c>
      <c r="M174" s="47">
        <v>24600</v>
      </c>
      <c r="N174" s="47">
        <v>0</v>
      </c>
      <c r="O174" s="47">
        <v>0</v>
      </c>
      <c r="P174" s="47">
        <v>0</v>
      </c>
      <c r="Q174" s="48">
        <f>SUM(H174:P174)</f>
        <v>24600</v>
      </c>
    </row>
    <row r="175" spans="3:17" s="87" customFormat="1" x14ac:dyDescent="0.2">
      <c r="F175" s="94"/>
      <c r="H175" s="88"/>
      <c r="I175" s="89"/>
      <c r="J175" s="89"/>
      <c r="K175" s="89"/>
      <c r="L175" s="89"/>
      <c r="M175" s="89"/>
      <c r="N175" s="89"/>
      <c r="O175" s="91"/>
      <c r="P175" s="89"/>
      <c r="Q175" s="90"/>
    </row>
    <row r="176" spans="3:17" s="2" customFormat="1" x14ac:dyDescent="0.2">
      <c r="F176" s="92" t="s">
        <v>150</v>
      </c>
      <c r="H176" s="43"/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5"/>
    </row>
    <row r="177" spans="5:17" s="23" customFormat="1" ht="12" x14ac:dyDescent="0.2">
      <c r="F177" s="63"/>
      <c r="H177" s="46"/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7">
        <v>0</v>
      </c>
      <c r="P177" s="47">
        <v>-42250</v>
      </c>
      <c r="Q177" s="48">
        <f>SUM(H177:P177)</f>
        <v>-42250</v>
      </c>
    </row>
    <row r="178" spans="5:17" s="2" customFormat="1" x14ac:dyDescent="0.2">
      <c r="G178" s="9"/>
      <c r="H178" s="43"/>
      <c r="I178" s="44"/>
      <c r="J178" s="44"/>
      <c r="K178" s="44"/>
      <c r="L178" s="44"/>
      <c r="M178" s="44"/>
      <c r="N178" s="44"/>
      <c r="O178" s="86"/>
      <c r="P178" s="44"/>
      <c r="Q178" s="45"/>
    </row>
    <row r="179" spans="5:17" s="2" customFormat="1" x14ac:dyDescent="0.2">
      <c r="F179" s="2" t="s">
        <v>81</v>
      </c>
      <c r="G179" s="9"/>
      <c r="H179" s="43">
        <v>258874</v>
      </c>
      <c r="I179" s="44">
        <v>178105.31199999998</v>
      </c>
      <c r="J179" s="44">
        <v>0</v>
      </c>
      <c r="K179" s="44">
        <v>8700</v>
      </c>
      <c r="L179" s="44">
        <v>13920</v>
      </c>
      <c r="M179" s="44">
        <v>0</v>
      </c>
      <c r="N179" s="44">
        <v>0</v>
      </c>
      <c r="O179" s="44">
        <v>0</v>
      </c>
      <c r="P179" s="44"/>
      <c r="Q179" s="45">
        <v>459599.31199999998</v>
      </c>
    </row>
    <row r="180" spans="5:17" s="23" customFormat="1" ht="12" x14ac:dyDescent="0.2">
      <c r="G180" s="24"/>
      <c r="H180" s="46">
        <v>115886.31</v>
      </c>
      <c r="I180" s="47">
        <v>109866.01</v>
      </c>
      <c r="J180" s="47">
        <v>0</v>
      </c>
      <c r="K180" s="47">
        <v>1127.06</v>
      </c>
      <c r="L180" s="47">
        <v>7223.87</v>
      </c>
      <c r="M180" s="47">
        <v>0</v>
      </c>
      <c r="N180" s="47">
        <v>0</v>
      </c>
      <c r="O180" s="47">
        <v>0</v>
      </c>
      <c r="P180" s="47">
        <v>0</v>
      </c>
      <c r="Q180" s="48">
        <v>234103.25</v>
      </c>
    </row>
    <row r="181" spans="5:17" s="2" customFormat="1" x14ac:dyDescent="0.2">
      <c r="G181" s="9"/>
      <c r="H181" s="43"/>
      <c r="I181" s="44"/>
      <c r="J181" s="44"/>
      <c r="K181" s="44"/>
      <c r="L181" s="44"/>
      <c r="M181" s="44"/>
      <c r="N181" s="44"/>
      <c r="O181" s="44"/>
      <c r="P181" s="44"/>
      <c r="Q181" s="45"/>
    </row>
    <row r="182" spans="5:17" s="2" customFormat="1" x14ac:dyDescent="0.2">
      <c r="F182" s="2" t="s">
        <v>82</v>
      </c>
      <c r="G182" s="9"/>
      <c r="H182" s="43">
        <f>63985.98+1000</f>
        <v>64985.98</v>
      </c>
      <c r="I182" s="44">
        <v>58357.410040000002</v>
      </c>
      <c r="J182" s="44">
        <v>0</v>
      </c>
      <c r="K182" s="44">
        <v>1500</v>
      </c>
      <c r="L182" s="44">
        <v>17400</v>
      </c>
      <c r="M182" s="44">
        <v>0</v>
      </c>
      <c r="N182" s="44">
        <v>0</v>
      </c>
      <c r="O182" s="44">
        <v>0</v>
      </c>
      <c r="P182" s="44">
        <v>0</v>
      </c>
      <c r="Q182" s="45">
        <v>142243.39004</v>
      </c>
    </row>
    <row r="183" spans="5:17" s="23" customFormat="1" ht="12" x14ac:dyDescent="0.2">
      <c r="G183" s="24"/>
      <c r="H183" s="49">
        <v>42039</v>
      </c>
      <c r="I183" s="50">
        <v>39810.699999999997</v>
      </c>
      <c r="J183" s="50">
        <v>0</v>
      </c>
      <c r="K183" s="50">
        <v>64.77</v>
      </c>
      <c r="L183" s="50">
        <v>73130.13</v>
      </c>
      <c r="M183" s="50">
        <v>121.64</v>
      </c>
      <c r="N183" s="50">
        <v>0</v>
      </c>
      <c r="O183" s="50">
        <v>0</v>
      </c>
      <c r="P183" s="50">
        <v>0</v>
      </c>
      <c r="Q183" s="51">
        <v>155166.24</v>
      </c>
    </row>
    <row r="184" spans="5:17" s="2" customFormat="1" x14ac:dyDescent="0.2">
      <c r="G184" s="84"/>
      <c r="H184" s="44"/>
      <c r="I184" s="44"/>
      <c r="J184" s="44"/>
      <c r="K184" s="44"/>
      <c r="L184" s="44"/>
      <c r="M184" s="44"/>
      <c r="N184" s="44"/>
      <c r="O184" s="44"/>
      <c r="P184" s="44"/>
      <c r="Q184" s="85"/>
    </row>
    <row r="185" spans="5:17" s="2" customFormat="1" x14ac:dyDescent="0.2">
      <c r="E185" t="s">
        <v>83</v>
      </c>
      <c r="G185" s="9"/>
      <c r="H185" s="27">
        <v>274994.5</v>
      </c>
      <c r="I185" s="28">
        <v>246945.06099999999</v>
      </c>
      <c r="J185" s="28">
        <v>0</v>
      </c>
      <c r="K185" s="28">
        <v>20000</v>
      </c>
      <c r="L185" s="28">
        <v>0</v>
      </c>
      <c r="M185" s="28">
        <v>5000</v>
      </c>
      <c r="N185" s="28">
        <v>0</v>
      </c>
      <c r="O185" s="28">
        <v>0</v>
      </c>
      <c r="P185" s="28"/>
      <c r="Q185" s="29">
        <v>546939.56099999999</v>
      </c>
    </row>
    <row r="186" spans="5:17" s="23" customFormat="1" ht="12" x14ac:dyDescent="0.2">
      <c r="G186" s="24"/>
      <c r="H186" s="30">
        <v>217359.82</v>
      </c>
      <c r="I186" s="31">
        <v>205319.67</v>
      </c>
      <c r="J186" s="31">
        <v>0</v>
      </c>
      <c r="K186" s="31">
        <v>236.34</v>
      </c>
      <c r="L186" s="31">
        <v>20094.88</v>
      </c>
      <c r="M186" s="31">
        <v>1142.8900000000001</v>
      </c>
      <c r="N186" s="31">
        <v>0</v>
      </c>
      <c r="O186" s="31">
        <v>0</v>
      </c>
      <c r="P186" s="31">
        <v>0</v>
      </c>
      <c r="Q186" s="32">
        <v>444153.60000000003</v>
      </c>
    </row>
    <row r="188" spans="5:17" x14ac:dyDescent="0.2">
      <c r="E188" t="s">
        <v>84</v>
      </c>
      <c r="H188" s="27">
        <v>357451</v>
      </c>
      <c r="I188" s="28">
        <v>320990.99799999996</v>
      </c>
      <c r="J188" s="28">
        <v>0</v>
      </c>
      <c r="K188" s="28">
        <v>21660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9">
        <v>700101.99799999991</v>
      </c>
    </row>
    <row r="189" spans="5:17" s="21" customFormat="1" ht="12" x14ac:dyDescent="0.2">
      <c r="G189" s="22"/>
      <c r="H189" s="30">
        <v>160178.93</v>
      </c>
      <c r="I189" s="31">
        <v>148647.54999999999</v>
      </c>
      <c r="J189" s="31">
        <v>0</v>
      </c>
      <c r="K189" s="31">
        <v>5901.52</v>
      </c>
      <c r="L189" s="31">
        <v>3780</v>
      </c>
      <c r="M189" s="31">
        <v>2487.36</v>
      </c>
      <c r="N189" s="31">
        <v>150</v>
      </c>
      <c r="O189" s="31">
        <v>0</v>
      </c>
      <c r="P189" s="31">
        <v>0</v>
      </c>
      <c r="Q189" s="32">
        <v>321145.36</v>
      </c>
    </row>
    <row r="191" spans="5:17" x14ac:dyDescent="0.2">
      <c r="E191" t="s">
        <v>85</v>
      </c>
      <c r="H191" s="27">
        <v>512135.73</v>
      </c>
      <c r="I191" s="28">
        <v>459897.88553999993</v>
      </c>
      <c r="J191" s="28">
        <v>0</v>
      </c>
      <c r="K191" s="28">
        <v>12000</v>
      </c>
      <c r="L191" s="28">
        <v>113100</v>
      </c>
      <c r="M191" s="28">
        <v>0</v>
      </c>
      <c r="N191" s="28">
        <v>0</v>
      </c>
      <c r="O191" s="28">
        <v>0</v>
      </c>
      <c r="P191" s="28"/>
      <c r="Q191" s="29">
        <v>1097133.6155399999</v>
      </c>
    </row>
    <row r="192" spans="5:17" s="21" customFormat="1" ht="12" x14ac:dyDescent="0.2">
      <c r="G192" s="22"/>
      <c r="H192" s="30">
        <v>421341.06</v>
      </c>
      <c r="I192" s="31">
        <v>398432.78</v>
      </c>
      <c r="J192" s="31">
        <v>0</v>
      </c>
      <c r="K192" s="31">
        <v>8709.66</v>
      </c>
      <c r="L192" s="31">
        <v>928791.21000000008</v>
      </c>
      <c r="M192" s="31">
        <v>1573.94</v>
      </c>
      <c r="N192" s="31">
        <v>0</v>
      </c>
      <c r="O192" s="31">
        <v>0</v>
      </c>
      <c r="P192" s="31">
        <v>0</v>
      </c>
      <c r="Q192" s="32">
        <v>1758848.6500000001</v>
      </c>
    </row>
    <row r="194" spans="3:17" x14ac:dyDescent="0.2">
      <c r="E194" t="s">
        <v>86</v>
      </c>
      <c r="H194" s="27">
        <f>407783+9830</f>
        <v>417613</v>
      </c>
      <c r="I194" s="28">
        <v>287317.74399999995</v>
      </c>
      <c r="J194" s="28">
        <v>66275</v>
      </c>
      <c r="K194" s="28">
        <v>73515</v>
      </c>
      <c r="L194" s="28">
        <v>28275</v>
      </c>
      <c r="M194" s="28">
        <v>22615</v>
      </c>
      <c r="N194" s="28">
        <v>0</v>
      </c>
      <c r="O194" s="28">
        <v>0</v>
      </c>
      <c r="P194" s="28"/>
      <c r="Q194" s="29">
        <v>895610.74399999995</v>
      </c>
    </row>
    <row r="195" spans="3:17" s="21" customFormat="1" ht="12" x14ac:dyDescent="0.2">
      <c r="G195" s="22"/>
      <c r="H195" s="30">
        <v>369778.58</v>
      </c>
      <c r="I195" s="31">
        <v>349859.86</v>
      </c>
      <c r="J195" s="31">
        <v>21889.77</v>
      </c>
      <c r="K195" s="31">
        <v>18431.64</v>
      </c>
      <c r="L195" s="31">
        <v>34567.67</v>
      </c>
      <c r="M195" s="31">
        <v>7914.1</v>
      </c>
      <c r="N195" s="31">
        <v>53</v>
      </c>
      <c r="O195" s="31">
        <v>0</v>
      </c>
      <c r="P195" s="31">
        <v>0</v>
      </c>
      <c r="Q195" s="32">
        <v>802494.62</v>
      </c>
    </row>
    <row r="197" spans="3:17" x14ac:dyDescent="0.2">
      <c r="E197" t="s">
        <v>87</v>
      </c>
      <c r="H197" s="27">
        <v>0</v>
      </c>
      <c r="I197" s="28">
        <v>0</v>
      </c>
      <c r="J197" s="28">
        <v>0</v>
      </c>
      <c r="K197" s="28">
        <v>0</v>
      </c>
      <c r="L197" s="28">
        <v>56550</v>
      </c>
      <c r="M197" s="28">
        <v>0</v>
      </c>
      <c r="N197" s="28">
        <v>61111</v>
      </c>
      <c r="O197" s="28">
        <v>0</v>
      </c>
      <c r="P197" s="28"/>
      <c r="Q197" s="29">
        <v>117661</v>
      </c>
    </row>
    <row r="198" spans="3:17" s="21" customFormat="1" ht="12" x14ac:dyDescent="0.2">
      <c r="G198" s="22"/>
      <c r="H198" s="30">
        <v>0</v>
      </c>
      <c r="I198" s="31">
        <v>0</v>
      </c>
      <c r="J198" s="31">
        <v>0</v>
      </c>
      <c r="K198" s="31">
        <v>0</v>
      </c>
      <c r="L198" s="31">
        <v>56890.36</v>
      </c>
      <c r="M198" s="31">
        <v>0</v>
      </c>
      <c r="N198" s="31">
        <v>81534.75</v>
      </c>
      <c r="O198" s="31">
        <v>0</v>
      </c>
      <c r="P198" s="31">
        <v>0</v>
      </c>
      <c r="Q198" s="32">
        <v>138425.10999999999</v>
      </c>
    </row>
    <row r="200" spans="3:17" x14ac:dyDescent="0.2">
      <c r="E200" t="s">
        <v>88</v>
      </c>
      <c r="H200" s="27">
        <f>138603.52+4100</f>
        <v>142703.51999999999</v>
      </c>
      <c r="I200" s="28">
        <v>128147.76095999999</v>
      </c>
      <c r="J200" s="28">
        <v>25000</v>
      </c>
      <c r="K200" s="28">
        <v>5000</v>
      </c>
      <c r="L200" s="28">
        <v>20000</v>
      </c>
      <c r="M200" s="28">
        <v>1500</v>
      </c>
      <c r="N200" s="28">
        <v>0</v>
      </c>
      <c r="O200" s="28">
        <v>0</v>
      </c>
      <c r="P200" s="28">
        <v>-326785.46000000002</v>
      </c>
      <c r="Q200" s="29">
        <v>-4434.1790400000173</v>
      </c>
    </row>
    <row r="201" spans="3:17" s="21" customFormat="1" ht="12" x14ac:dyDescent="0.2">
      <c r="G201" s="22"/>
      <c r="H201" s="30">
        <v>62199.22</v>
      </c>
      <c r="I201" s="31">
        <v>59107.6</v>
      </c>
      <c r="J201" s="31">
        <v>16769.939999999999</v>
      </c>
      <c r="K201" s="31">
        <v>1363.01</v>
      </c>
      <c r="L201" s="31">
        <v>6274.43</v>
      </c>
      <c r="M201" s="31">
        <v>292.06</v>
      </c>
      <c r="N201" s="31">
        <v>25</v>
      </c>
      <c r="O201" s="31">
        <v>106.7</v>
      </c>
      <c r="P201" s="31">
        <v>-193891.37</v>
      </c>
      <c r="Q201" s="32">
        <v>-47753.41</v>
      </c>
    </row>
    <row r="203" spans="3:17" s="3" customFormat="1" x14ac:dyDescent="0.2">
      <c r="G203" s="6" t="s">
        <v>89</v>
      </c>
      <c r="H203" s="4">
        <f>H152+H167+H188+H191+H194+H197+H200</f>
        <v>3066430.5844000001</v>
      </c>
      <c r="I203" s="4">
        <f t="shared" ref="I203:Q203" si="19">I152+I167+I188+I191+I194+I197+I200</f>
        <v>2393681.0953671997</v>
      </c>
      <c r="J203" s="4">
        <f t="shared" si="19"/>
        <v>112105</v>
      </c>
      <c r="K203" s="4">
        <f t="shared" si="19"/>
        <v>195095</v>
      </c>
      <c r="L203" s="4">
        <f t="shared" si="19"/>
        <v>907620</v>
      </c>
      <c r="M203" s="4">
        <f t="shared" si="19"/>
        <v>60820</v>
      </c>
      <c r="N203" s="4">
        <f t="shared" si="19"/>
        <v>62461</v>
      </c>
      <c r="O203" s="4">
        <f t="shared" si="19"/>
        <v>0</v>
      </c>
      <c r="P203" s="4">
        <f t="shared" si="19"/>
        <v>-326785.46000000002</v>
      </c>
      <c r="Q203" s="4">
        <f t="shared" si="19"/>
        <v>5924487.6587671991</v>
      </c>
    </row>
    <row r="204" spans="3:17" s="21" customFormat="1" ht="12" x14ac:dyDescent="0.2">
      <c r="G204" s="19" t="s">
        <v>133</v>
      </c>
      <c r="H204" s="20">
        <f>H153+H168+H189+H192+H195+H198+H201</f>
        <v>2031699.9000000001</v>
      </c>
      <c r="I204" s="20">
        <f t="shared" ref="I204:Q204" si="20">I153+I168+I189+I192+I195+I198+I201</f>
        <v>1910387.4700000002</v>
      </c>
      <c r="J204" s="20">
        <f t="shared" si="20"/>
        <v>51086.559999999998</v>
      </c>
      <c r="K204" s="20">
        <f t="shared" si="20"/>
        <v>55437.440000000002</v>
      </c>
      <c r="L204" s="20">
        <f t="shared" si="20"/>
        <v>1416978.71</v>
      </c>
      <c r="M204" s="20">
        <f t="shared" si="20"/>
        <v>63556.03</v>
      </c>
      <c r="N204" s="20">
        <f t="shared" si="20"/>
        <v>78659.289999999994</v>
      </c>
      <c r="O204" s="20">
        <f t="shared" si="20"/>
        <v>106.7</v>
      </c>
      <c r="P204" s="20">
        <f t="shared" si="20"/>
        <v>-236141.37</v>
      </c>
      <c r="Q204" s="20">
        <f t="shared" si="20"/>
        <v>5371770.7300000004</v>
      </c>
    </row>
    <row r="207" spans="3:17" x14ac:dyDescent="0.2">
      <c r="C207" t="s">
        <v>90</v>
      </c>
    </row>
    <row r="208" spans="3:17" x14ac:dyDescent="0.2">
      <c r="G208" s="18" t="s">
        <v>131</v>
      </c>
    </row>
    <row r="209" spans="5:17" x14ac:dyDescent="0.2">
      <c r="E209" t="s">
        <v>91</v>
      </c>
      <c r="H209" s="27">
        <v>102708.72</v>
      </c>
      <c r="I209" s="28">
        <v>70663.599359999993</v>
      </c>
      <c r="J209" s="28">
        <v>0</v>
      </c>
      <c r="K209" s="28">
        <v>1044</v>
      </c>
      <c r="L209" s="28">
        <v>77082</v>
      </c>
      <c r="M209" s="28">
        <v>0</v>
      </c>
      <c r="N209" s="28">
        <v>0</v>
      </c>
      <c r="O209" s="28">
        <v>0</v>
      </c>
      <c r="P209" s="28"/>
      <c r="Q209" s="29">
        <v>251498.31935999999</v>
      </c>
    </row>
    <row r="210" spans="5:17" s="21" customFormat="1" ht="12" x14ac:dyDescent="0.2">
      <c r="G210" s="22"/>
      <c r="H210" s="30">
        <v>65860.62</v>
      </c>
      <c r="I210" s="31">
        <v>62492.43</v>
      </c>
      <c r="J210" s="31">
        <v>0</v>
      </c>
      <c r="K210" s="31">
        <v>1408.91</v>
      </c>
      <c r="L210" s="31">
        <v>271412.15000000002</v>
      </c>
      <c r="M210" s="31">
        <v>0</v>
      </c>
      <c r="N210" s="31">
        <v>0</v>
      </c>
      <c r="O210" s="31">
        <v>0</v>
      </c>
      <c r="P210" s="31">
        <v>0</v>
      </c>
      <c r="Q210" s="32">
        <v>401174.11000000004</v>
      </c>
    </row>
    <row r="212" spans="5:17" x14ac:dyDescent="0.2">
      <c r="E212" t="s">
        <v>92</v>
      </c>
      <c r="H212" s="27">
        <v>116249.4</v>
      </c>
      <c r="I212" s="28">
        <v>79979.587199999994</v>
      </c>
      <c r="J212" s="28">
        <v>0</v>
      </c>
      <c r="K212" s="28">
        <v>1044</v>
      </c>
      <c r="L212" s="28">
        <v>514200</v>
      </c>
      <c r="M212" s="28">
        <v>0</v>
      </c>
      <c r="N212" s="28">
        <v>0</v>
      </c>
      <c r="O212" s="28">
        <v>0</v>
      </c>
      <c r="P212" s="28"/>
      <c r="Q212" s="29">
        <v>711472.98719999997</v>
      </c>
    </row>
    <row r="213" spans="5:17" s="21" customFormat="1" ht="12" x14ac:dyDescent="0.2">
      <c r="G213" s="22"/>
      <c r="H213" s="30">
        <v>211745.27</v>
      </c>
      <c r="I213" s="31">
        <v>201125.19</v>
      </c>
      <c r="J213" s="31">
        <v>0</v>
      </c>
      <c r="K213" s="31">
        <v>2563.8200000000002</v>
      </c>
      <c r="L213" s="31">
        <v>286378.58</v>
      </c>
      <c r="M213" s="31">
        <v>0</v>
      </c>
      <c r="N213" s="31">
        <v>0</v>
      </c>
      <c r="O213" s="31">
        <v>0</v>
      </c>
      <c r="P213" s="31">
        <v>0</v>
      </c>
      <c r="Q213" s="32">
        <v>701812.86</v>
      </c>
    </row>
    <row r="215" spans="5:17" x14ac:dyDescent="0.2">
      <c r="E215" t="s">
        <v>93</v>
      </c>
      <c r="H215" s="27">
        <v>150482.81</v>
      </c>
      <c r="I215" s="28">
        <v>103532.17327999999</v>
      </c>
      <c r="J215" s="28">
        <v>0</v>
      </c>
      <c r="K215" s="28">
        <v>4254.3</v>
      </c>
      <c r="L215" s="28">
        <v>32552.355</v>
      </c>
      <c r="M215" s="28">
        <v>1348.5</v>
      </c>
      <c r="N215" s="28">
        <v>0</v>
      </c>
      <c r="O215" s="28">
        <v>0</v>
      </c>
      <c r="P215" s="28"/>
      <c r="Q215" s="29">
        <v>292170.13827999996</v>
      </c>
    </row>
    <row r="216" spans="5:17" s="21" customFormat="1" ht="12" x14ac:dyDescent="0.2">
      <c r="G216" s="22"/>
      <c r="H216" s="30">
        <v>120346.62</v>
      </c>
      <c r="I216" s="31">
        <v>114506.55</v>
      </c>
      <c r="J216" s="31">
        <v>0</v>
      </c>
      <c r="K216" s="31">
        <v>0</v>
      </c>
      <c r="L216" s="31">
        <v>7213.7</v>
      </c>
      <c r="M216" s="31">
        <v>0</v>
      </c>
      <c r="N216" s="31">
        <v>0</v>
      </c>
      <c r="O216" s="31">
        <v>0</v>
      </c>
      <c r="P216" s="31">
        <v>0</v>
      </c>
      <c r="Q216" s="32">
        <v>242066.87</v>
      </c>
    </row>
    <row r="218" spans="5:17" x14ac:dyDescent="0.2">
      <c r="E218" t="s">
        <v>94</v>
      </c>
      <c r="H218" s="27">
        <v>160860.54999999999</v>
      </c>
      <c r="I218" s="28">
        <v>110672.05839999998</v>
      </c>
      <c r="J218" s="28">
        <v>0</v>
      </c>
      <c r="K218" s="28">
        <v>1000.5</v>
      </c>
      <c r="L218" s="28">
        <v>1500938</v>
      </c>
      <c r="M218" s="28">
        <v>0</v>
      </c>
      <c r="N218" s="28">
        <v>4250</v>
      </c>
      <c r="O218" s="28">
        <v>0</v>
      </c>
      <c r="P218" s="28"/>
      <c r="Q218" s="29">
        <v>1777721.1084</v>
      </c>
    </row>
    <row r="219" spans="5:17" s="21" customFormat="1" ht="12" x14ac:dyDescent="0.2">
      <c r="G219" s="22"/>
      <c r="H219" s="30">
        <v>147973.18</v>
      </c>
      <c r="I219" s="31">
        <v>139519.31</v>
      </c>
      <c r="J219" s="31">
        <v>0</v>
      </c>
      <c r="K219" s="31">
        <v>2019.21</v>
      </c>
      <c r="L219" s="31">
        <v>1684167.73</v>
      </c>
      <c r="M219" s="31">
        <v>2360.08</v>
      </c>
      <c r="N219" s="31">
        <v>239659</v>
      </c>
      <c r="O219" s="31">
        <v>0</v>
      </c>
      <c r="P219" s="31">
        <v>0</v>
      </c>
      <c r="Q219" s="32">
        <v>2215698.5099999998</v>
      </c>
    </row>
    <row r="221" spans="5:17" x14ac:dyDescent="0.2">
      <c r="E221" t="s">
        <v>95</v>
      </c>
      <c r="H221" s="27">
        <v>0</v>
      </c>
      <c r="I221" s="28">
        <v>0</v>
      </c>
      <c r="J221" s="28">
        <v>0</v>
      </c>
      <c r="K221" s="28">
        <v>0</v>
      </c>
      <c r="L221" s="28">
        <v>54000</v>
      </c>
      <c r="M221" s="28">
        <v>0</v>
      </c>
      <c r="N221" s="28">
        <v>0</v>
      </c>
      <c r="O221" s="28">
        <v>0</v>
      </c>
      <c r="P221" s="28"/>
      <c r="Q221" s="29">
        <v>54000</v>
      </c>
    </row>
    <row r="222" spans="5:17" s="21" customFormat="1" ht="12" x14ac:dyDescent="0.2">
      <c r="G222" s="22"/>
      <c r="H222" s="30">
        <v>0</v>
      </c>
      <c r="I222" s="31">
        <v>0</v>
      </c>
      <c r="J222" s="31">
        <v>0</v>
      </c>
      <c r="K222" s="31">
        <v>0</v>
      </c>
      <c r="L222" s="31">
        <v>72022.5</v>
      </c>
      <c r="M222" s="31">
        <v>0</v>
      </c>
      <c r="N222" s="31">
        <v>0</v>
      </c>
      <c r="O222" s="31">
        <v>0</v>
      </c>
      <c r="P222" s="31">
        <v>0</v>
      </c>
      <c r="Q222" s="32">
        <v>72022.5</v>
      </c>
    </row>
    <row r="224" spans="5:17" x14ac:dyDescent="0.2">
      <c r="E224" t="s">
        <v>96</v>
      </c>
      <c r="H224" s="27">
        <v>250167.5</v>
      </c>
      <c r="I224" s="28">
        <v>224650.41499999998</v>
      </c>
      <c r="J224" s="28">
        <v>0</v>
      </c>
      <c r="K224" s="28">
        <v>10800</v>
      </c>
      <c r="L224" s="28">
        <v>78300</v>
      </c>
      <c r="M224" s="28">
        <v>6200</v>
      </c>
      <c r="N224" s="28">
        <v>0</v>
      </c>
      <c r="O224" s="28">
        <v>0</v>
      </c>
      <c r="P224" s="28"/>
      <c r="Q224" s="29">
        <v>570117.91500000004</v>
      </c>
    </row>
    <row r="225" spans="3:17" s="21" customFormat="1" ht="12" x14ac:dyDescent="0.2">
      <c r="G225" s="22"/>
      <c r="H225" s="30">
        <v>199373.85</v>
      </c>
      <c r="I225" s="31">
        <v>187073.59</v>
      </c>
      <c r="J225" s="31">
        <v>0</v>
      </c>
      <c r="K225" s="31">
        <v>3769.69</v>
      </c>
      <c r="L225" s="31">
        <v>82058.679999999993</v>
      </c>
      <c r="M225" s="31">
        <v>1658.32</v>
      </c>
      <c r="N225" s="31">
        <v>0</v>
      </c>
      <c r="O225" s="31">
        <v>1500</v>
      </c>
      <c r="P225" s="31">
        <v>0</v>
      </c>
      <c r="Q225" s="32">
        <v>475434.13</v>
      </c>
    </row>
    <row r="227" spans="3:17" s="3" customFormat="1" x14ac:dyDescent="0.2">
      <c r="G227" s="6" t="s">
        <v>97</v>
      </c>
      <c r="H227" s="4">
        <v>780468.98</v>
      </c>
      <c r="I227" s="4">
        <v>589497.83323999995</v>
      </c>
      <c r="J227" s="4">
        <v>0</v>
      </c>
      <c r="K227" s="4">
        <v>18142.8</v>
      </c>
      <c r="L227" s="4">
        <v>2257072.355</v>
      </c>
      <c r="M227" s="4">
        <v>7548.5</v>
      </c>
      <c r="N227" s="4">
        <v>4250</v>
      </c>
      <c r="O227" s="4">
        <v>0</v>
      </c>
      <c r="P227" s="4">
        <v>0</v>
      </c>
      <c r="Q227" s="4">
        <v>3656980.4682400003</v>
      </c>
    </row>
    <row r="228" spans="3:17" s="21" customFormat="1" ht="12" x14ac:dyDescent="0.2">
      <c r="G228" s="19" t="s">
        <v>133</v>
      </c>
      <c r="H228" s="20">
        <f>H210+H213+H216+H219+H222+H225</f>
        <v>745299.53999999992</v>
      </c>
      <c r="I228" s="20">
        <f t="shared" ref="I228:Q228" si="21">I210+I213+I216+I219+I222+I225</f>
        <v>704717.07</v>
      </c>
      <c r="J228" s="20">
        <f t="shared" si="21"/>
        <v>0</v>
      </c>
      <c r="K228" s="20">
        <f t="shared" si="21"/>
        <v>9761.630000000001</v>
      </c>
      <c r="L228" s="20">
        <f t="shared" si="21"/>
        <v>2403253.3400000003</v>
      </c>
      <c r="M228" s="20">
        <f t="shared" si="21"/>
        <v>4018.3999999999996</v>
      </c>
      <c r="N228" s="20">
        <f t="shared" si="21"/>
        <v>239659</v>
      </c>
      <c r="O228" s="20">
        <f t="shared" si="21"/>
        <v>1500</v>
      </c>
      <c r="P228" s="20">
        <f t="shared" si="21"/>
        <v>0</v>
      </c>
      <c r="Q228" s="20">
        <f t="shared" si="21"/>
        <v>4108208.9799999995</v>
      </c>
    </row>
    <row r="231" spans="3:17" x14ac:dyDescent="0.2">
      <c r="C231" t="s">
        <v>98</v>
      </c>
    </row>
    <row r="232" spans="3:17" x14ac:dyDescent="0.2">
      <c r="G232" s="18" t="s">
        <v>131</v>
      </c>
    </row>
    <row r="233" spans="3:17" x14ac:dyDescent="0.2">
      <c r="C233" t="s">
        <v>99</v>
      </c>
      <c r="E233" t="s">
        <v>100</v>
      </c>
      <c r="H233" s="27">
        <v>221373.5</v>
      </c>
      <c r="I233" s="28">
        <v>198793.40299999999</v>
      </c>
      <c r="J233" s="28">
        <v>0</v>
      </c>
      <c r="K233" s="28">
        <v>11780</v>
      </c>
      <c r="L233" s="28">
        <v>47750</v>
      </c>
      <c r="M233" s="28">
        <v>5000</v>
      </c>
      <c r="N233" s="28">
        <v>465000</v>
      </c>
      <c r="O233" s="28">
        <v>0</v>
      </c>
      <c r="P233" s="28"/>
      <c r="Q233" s="29">
        <v>949696.90299999993</v>
      </c>
    </row>
    <row r="234" spans="3:17" s="21" customFormat="1" ht="12" x14ac:dyDescent="0.2">
      <c r="G234" s="22"/>
      <c r="H234" s="30">
        <v>219711.48</v>
      </c>
      <c r="I234" s="31">
        <v>207608.94</v>
      </c>
      <c r="J234" s="31">
        <v>0</v>
      </c>
      <c r="K234" s="31">
        <v>2627.38</v>
      </c>
      <c r="L234" s="31">
        <v>3201.07</v>
      </c>
      <c r="M234" s="31">
        <v>3737.13</v>
      </c>
      <c r="N234" s="31">
        <v>783750.58</v>
      </c>
      <c r="O234" s="31">
        <v>0</v>
      </c>
      <c r="P234" s="31">
        <v>0</v>
      </c>
      <c r="Q234" s="32">
        <v>1220636.5799999998</v>
      </c>
    </row>
    <row r="236" spans="3:17" x14ac:dyDescent="0.2">
      <c r="C236" t="s">
        <v>101</v>
      </c>
      <c r="E236" t="s">
        <v>102</v>
      </c>
      <c r="H236" s="27">
        <v>78624</v>
      </c>
      <c r="I236" s="28">
        <v>70604.351999999999</v>
      </c>
      <c r="J236" s="28">
        <v>0</v>
      </c>
      <c r="K236" s="28">
        <v>12000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  <c r="Q236" s="29">
        <v>161228.35200000001</v>
      </c>
    </row>
    <row r="237" spans="3:17" s="21" customFormat="1" ht="12" x14ac:dyDescent="0.2">
      <c r="G237" s="22"/>
      <c r="H237" s="30">
        <v>135490.82999999999</v>
      </c>
      <c r="I237" s="31">
        <v>129618.55</v>
      </c>
      <c r="J237" s="31">
        <v>0</v>
      </c>
      <c r="K237" s="31">
        <v>3051.51</v>
      </c>
      <c r="L237" s="31">
        <v>51807</v>
      </c>
      <c r="M237" s="31">
        <v>222.72</v>
      </c>
      <c r="N237" s="31">
        <v>0</v>
      </c>
      <c r="O237" s="31">
        <v>0</v>
      </c>
      <c r="P237" s="31">
        <v>0</v>
      </c>
      <c r="Q237" s="32">
        <v>320190.61</v>
      </c>
    </row>
    <row r="239" spans="3:17" x14ac:dyDescent="0.2">
      <c r="C239" t="s">
        <v>101</v>
      </c>
      <c r="E239" t="s">
        <v>103</v>
      </c>
      <c r="H239" s="27">
        <v>78624</v>
      </c>
      <c r="I239" s="28">
        <v>70604.351999999999</v>
      </c>
      <c r="J239" s="28">
        <v>0</v>
      </c>
      <c r="K239" s="28">
        <v>12000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9">
        <v>161228.35200000001</v>
      </c>
    </row>
    <row r="240" spans="3:17" s="21" customFormat="1" ht="12" x14ac:dyDescent="0.2">
      <c r="G240" s="22"/>
      <c r="H240" s="30"/>
      <c r="I240" s="31"/>
      <c r="J240" s="31"/>
      <c r="K240" s="31"/>
      <c r="L240" s="31"/>
      <c r="M240" s="31"/>
      <c r="N240" s="31"/>
      <c r="O240" s="31"/>
      <c r="P240" s="31"/>
      <c r="Q240" s="32"/>
    </row>
    <row r="242" spans="3:20" x14ac:dyDescent="0.2">
      <c r="C242" t="s">
        <v>104</v>
      </c>
      <c r="E242" t="s">
        <v>105</v>
      </c>
      <c r="H242" s="27">
        <v>94640</v>
      </c>
      <c r="I242" s="28">
        <v>65112.319999999992</v>
      </c>
      <c r="J242" s="28">
        <v>0</v>
      </c>
      <c r="K242" s="28">
        <v>2300</v>
      </c>
      <c r="L242" s="28">
        <v>131572</v>
      </c>
      <c r="M242" s="28">
        <v>2000</v>
      </c>
      <c r="N242" s="28">
        <v>0</v>
      </c>
      <c r="O242" s="28">
        <v>0</v>
      </c>
      <c r="P242" s="28"/>
      <c r="Q242" s="29">
        <v>295624.32000000001</v>
      </c>
    </row>
    <row r="243" spans="3:20" s="21" customFormat="1" ht="12" x14ac:dyDescent="0.2">
      <c r="G243" s="22"/>
      <c r="H243" s="30">
        <v>42204.24</v>
      </c>
      <c r="I243" s="31">
        <v>40375.629999999997</v>
      </c>
      <c r="J243" s="31">
        <v>1602.9</v>
      </c>
      <c r="K243" s="31">
        <v>3372.05</v>
      </c>
      <c r="L243" s="31">
        <v>28692.54</v>
      </c>
      <c r="M243" s="31">
        <v>0</v>
      </c>
      <c r="N243" s="31">
        <v>0</v>
      </c>
      <c r="O243" s="31">
        <v>134940.70000000001</v>
      </c>
      <c r="P243" s="31">
        <v>0</v>
      </c>
      <c r="Q243" s="32">
        <v>251188.06</v>
      </c>
    </row>
    <row r="245" spans="3:20" s="3" customFormat="1" x14ac:dyDescent="0.2">
      <c r="G245" s="6" t="s">
        <v>106</v>
      </c>
      <c r="H245" s="4">
        <f>H233+H236+H239+H242</f>
        <v>473261.5</v>
      </c>
      <c r="I245" s="4">
        <f t="shared" ref="I245:P245" si="22">I233+I236+I239+I242</f>
        <v>405114.42700000003</v>
      </c>
      <c r="J245" s="4">
        <f t="shared" si="22"/>
        <v>0</v>
      </c>
      <c r="K245" s="4">
        <f t="shared" si="22"/>
        <v>38080</v>
      </c>
      <c r="L245" s="4">
        <f t="shared" si="22"/>
        <v>179322</v>
      </c>
      <c r="M245" s="4">
        <f t="shared" si="22"/>
        <v>7000</v>
      </c>
      <c r="N245" s="4">
        <f t="shared" si="22"/>
        <v>465000</v>
      </c>
      <c r="O245" s="4">
        <f t="shared" si="22"/>
        <v>0</v>
      </c>
      <c r="P245" s="4">
        <f t="shared" si="22"/>
        <v>0</v>
      </c>
      <c r="Q245" s="4">
        <f>SUM(H245:P245)</f>
        <v>1567777.9270000001</v>
      </c>
    </row>
    <row r="246" spans="3:20" s="21" customFormat="1" ht="12" x14ac:dyDescent="0.2">
      <c r="G246" s="19" t="s">
        <v>133</v>
      </c>
      <c r="H246" s="20">
        <f>H234+H237+H240+H243</f>
        <v>397406.55</v>
      </c>
      <c r="I246" s="20">
        <f t="shared" ref="I246:Q246" si="23">I234+I237+I240+I243</f>
        <v>377603.12</v>
      </c>
      <c r="J246" s="20">
        <f t="shared" si="23"/>
        <v>1602.9</v>
      </c>
      <c r="K246" s="20">
        <f t="shared" si="23"/>
        <v>9050.94</v>
      </c>
      <c r="L246" s="20">
        <f t="shared" si="23"/>
        <v>83700.61</v>
      </c>
      <c r="M246" s="20">
        <f t="shared" si="23"/>
        <v>3959.85</v>
      </c>
      <c r="N246" s="20">
        <f t="shared" si="23"/>
        <v>783750.58</v>
      </c>
      <c r="O246" s="20">
        <f t="shared" si="23"/>
        <v>134940.70000000001</v>
      </c>
      <c r="P246" s="20">
        <f t="shared" si="23"/>
        <v>0</v>
      </c>
      <c r="Q246" s="20">
        <f t="shared" si="23"/>
        <v>1792015.25</v>
      </c>
    </row>
    <row r="249" spans="3:20" s="3" customFormat="1" x14ac:dyDescent="0.2">
      <c r="G249" s="6" t="s">
        <v>130</v>
      </c>
      <c r="H249" s="4">
        <f>H61+H123+H134+H146+H203+H227+H245</f>
        <v>8761381.9719000012</v>
      </c>
      <c r="I249" s="4">
        <f t="shared" ref="I249:P249" si="24">I61+I123+I134+I146+I203+I227+I245</f>
        <v>7098320.4054067899</v>
      </c>
      <c r="J249" s="4">
        <f t="shared" si="24"/>
        <v>3598788</v>
      </c>
      <c r="K249" s="4">
        <f t="shared" si="24"/>
        <v>461106.8</v>
      </c>
      <c r="L249" s="4">
        <f t="shared" si="24"/>
        <v>12002783.615</v>
      </c>
      <c r="M249" s="4">
        <f t="shared" si="24"/>
        <v>168751.5</v>
      </c>
      <c r="N249" s="4">
        <f t="shared" si="24"/>
        <v>1349656.5</v>
      </c>
      <c r="O249" s="4">
        <f t="shared" si="24"/>
        <v>70374299.326563075</v>
      </c>
      <c r="P249" s="4">
        <f t="shared" si="24"/>
        <v>-326785.46000000002</v>
      </c>
      <c r="Q249" s="4">
        <f>Q61+Q123+Q134+Q146+Q203+Q227+Q245</f>
        <v>102906262.82661985</v>
      </c>
    </row>
    <row r="250" spans="3:20" s="21" customFormat="1" ht="12" x14ac:dyDescent="0.2">
      <c r="G250" s="19" t="s">
        <v>132</v>
      </c>
      <c r="H250" s="20">
        <f>H62+H124+H135+H147+H204+H228+H246</f>
        <v>6719259.6100000003</v>
      </c>
      <c r="I250" s="20">
        <f t="shared" ref="I250:Q250" si="25">I62+I124+I135+I147+I204+I228+I246</f>
        <v>6356658.3899999997</v>
      </c>
      <c r="J250" s="20">
        <f t="shared" si="25"/>
        <v>2646238.92</v>
      </c>
      <c r="K250" s="20">
        <f t="shared" si="25"/>
        <v>185498.55</v>
      </c>
      <c r="L250" s="20">
        <f t="shared" si="25"/>
        <v>12453249.890000001</v>
      </c>
      <c r="M250" s="20">
        <f t="shared" si="25"/>
        <v>125059.47</v>
      </c>
      <c r="N250" s="20">
        <f t="shared" si="25"/>
        <v>1177146.1199999999</v>
      </c>
      <c r="O250" s="20">
        <f t="shared" si="25"/>
        <v>71136122.069999993</v>
      </c>
      <c r="P250" s="20">
        <f t="shared" si="25"/>
        <v>-237833.37</v>
      </c>
      <c r="Q250" s="20">
        <f t="shared" si="25"/>
        <v>100561399.65000002</v>
      </c>
      <c r="S250" s="25" t="s">
        <v>147</v>
      </c>
      <c r="T250" s="81">
        <f>O250/Q250</f>
        <v>0.70738993607474099</v>
      </c>
    </row>
    <row r="252" spans="3:20" x14ac:dyDescent="0.2">
      <c r="H252" s="1" t="s">
        <v>143</v>
      </c>
    </row>
    <row r="253" spans="3:20" x14ac:dyDescent="0.2">
      <c r="H253" s="1" t="s">
        <v>140</v>
      </c>
    </row>
    <row r="254" spans="3:20" x14ac:dyDescent="0.2">
      <c r="H254" s="1" t="s">
        <v>141</v>
      </c>
    </row>
    <row r="255" spans="3:20" x14ac:dyDescent="0.2">
      <c r="H255" s="1" t="s">
        <v>142</v>
      </c>
    </row>
    <row r="257" spans="8:8" x14ac:dyDescent="0.2">
      <c r="H257" s="75" t="s">
        <v>144</v>
      </c>
    </row>
  </sheetData>
  <pageMargins left="0.7" right="0.7" top="0.75" bottom="0.5" header="0.3" footer="0.3"/>
  <pageSetup paperSize="17" scale="85" orientation="landscape" r:id="rId1"/>
  <headerFooter>
    <oddHeader>&amp;R&amp;"Arial,Bold Italic"&amp;18&amp;K006A71&amp;G</oddHeader>
    <oddFooter>&amp;L&amp;P of &amp;N&amp;R&amp;G</oddFooter>
  </headerFooter>
  <rowBreaks count="4" manualBreakCount="4">
    <brk id="63" max="16383" man="1"/>
    <brk id="125" max="16383" man="1"/>
    <brk id="149" max="16383" man="1"/>
    <brk id="20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6"/>
  <sheetViews>
    <sheetView showGridLines="0" topLeftCell="D7" zoomScaleNormal="100" workbookViewId="0">
      <pane xSplit="3" ySplit="2" topLeftCell="G9" activePane="bottomRight" state="frozen"/>
      <selection activeCell="D7" sqref="D7"/>
      <selection pane="topRight" activeCell="G7" sqref="G7"/>
      <selection pane="bottomLeft" activeCell="D9" sqref="D9"/>
      <selection pane="bottomRight" activeCell="E7" sqref="E7"/>
    </sheetView>
  </sheetViews>
  <sheetFormatPr defaultRowHeight="12.75" x14ac:dyDescent="0.2"/>
  <cols>
    <col min="3" max="3" width="9.28515625" customWidth="1"/>
    <col min="4" max="4" width="4.7109375" customWidth="1"/>
    <col min="5" max="5" width="29.140625" customWidth="1"/>
    <col min="6" max="6" width="14.5703125" style="5" customWidth="1"/>
    <col min="7" max="7" width="17.140625" style="1" customWidth="1"/>
    <col min="8" max="8" width="14.140625" style="1" bestFit="1" customWidth="1"/>
    <col min="9" max="9" width="12.42578125" style="1" bestFit="1" customWidth="1"/>
    <col min="10" max="10" width="16.7109375" style="1" customWidth="1"/>
    <col min="11" max="11" width="14.140625" style="1" bestFit="1" customWidth="1"/>
    <col min="12" max="12" width="13.28515625" style="1" customWidth="1"/>
    <col min="13" max="13" width="18.7109375" style="1" customWidth="1"/>
    <col min="14" max="14" width="14.140625" style="1" bestFit="1" customWidth="1"/>
    <col min="15" max="15" width="13.28515625" style="1" bestFit="1" customWidth="1"/>
    <col min="16" max="16" width="15.140625" style="1" customWidth="1"/>
  </cols>
  <sheetData>
    <row r="2" spans="1:16" ht="27.75" x14ac:dyDescent="0.4">
      <c r="A2" s="80" t="s">
        <v>125</v>
      </c>
      <c r="B2" s="58"/>
      <c r="G2" s="74"/>
      <c r="H2" s="73"/>
      <c r="I2" s="73"/>
      <c r="J2" s="73"/>
    </row>
    <row r="3" spans="1:16" ht="15" x14ac:dyDescent="0.2">
      <c r="A3" s="12" t="s">
        <v>129</v>
      </c>
      <c r="B3" s="16"/>
      <c r="F3" s="13"/>
      <c r="G3" s="69" t="s">
        <v>126</v>
      </c>
      <c r="H3" s="11"/>
      <c r="I3" s="11"/>
      <c r="J3" s="26"/>
      <c r="K3"/>
      <c r="L3"/>
    </row>
    <row r="4" spans="1:16" ht="15" x14ac:dyDescent="0.2">
      <c r="A4" s="12"/>
      <c r="B4" s="16"/>
      <c r="F4" s="13"/>
      <c r="G4" s="70" t="s">
        <v>127</v>
      </c>
      <c r="H4" s="14"/>
      <c r="I4" s="67"/>
      <c r="J4" s="59"/>
      <c r="K4"/>
      <c r="L4"/>
    </row>
    <row r="5" spans="1:16" ht="15" x14ac:dyDescent="0.2">
      <c r="B5" s="16"/>
      <c r="F5" s="13"/>
      <c r="G5" s="71" t="s">
        <v>128</v>
      </c>
      <c r="H5" s="15"/>
      <c r="I5" s="68"/>
      <c r="J5" s="60"/>
      <c r="K5"/>
      <c r="L5"/>
    </row>
    <row r="7" spans="1:16" ht="33" customHeight="1" x14ac:dyDescent="0.3">
      <c r="A7" s="79" t="s">
        <v>134</v>
      </c>
      <c r="G7" s="4" t="s">
        <v>1</v>
      </c>
    </row>
    <row r="8" spans="1:16" ht="42.6" customHeight="1" x14ac:dyDescent="0.2">
      <c r="B8" t="s">
        <v>2</v>
      </c>
      <c r="D8" t="s">
        <v>3</v>
      </c>
      <c r="G8" s="76" t="s">
        <v>139</v>
      </c>
      <c r="H8" s="76" t="s">
        <v>4</v>
      </c>
      <c r="I8" s="77" t="s">
        <v>5</v>
      </c>
      <c r="J8" s="78" t="s">
        <v>6</v>
      </c>
      <c r="K8" s="78" t="s">
        <v>7</v>
      </c>
      <c r="L8" s="78" t="s">
        <v>8</v>
      </c>
      <c r="M8" s="76" t="s">
        <v>9</v>
      </c>
      <c r="N8" s="76" t="s">
        <v>10</v>
      </c>
      <c r="O8" s="77" t="s">
        <v>11</v>
      </c>
      <c r="P8" s="76" t="s">
        <v>12</v>
      </c>
    </row>
    <row r="9" spans="1:16" x14ac:dyDescent="0.2">
      <c r="B9" t="s">
        <v>13</v>
      </c>
    </row>
    <row r="10" spans="1:16" x14ac:dyDescent="0.2">
      <c r="F10" s="18" t="s">
        <v>131</v>
      </c>
    </row>
    <row r="11" spans="1:16" x14ac:dyDescent="0.2">
      <c r="B11" t="s">
        <v>107</v>
      </c>
      <c r="D11" t="s">
        <v>15</v>
      </c>
      <c r="G11" s="27">
        <f>15938.75+1600</f>
        <v>17538.75</v>
      </c>
      <c r="H11" s="28">
        <v>15749.797499999997</v>
      </c>
      <c r="I11" s="28">
        <v>5000</v>
      </c>
      <c r="J11" s="28">
        <v>1000</v>
      </c>
      <c r="K11" s="28">
        <v>1000</v>
      </c>
      <c r="L11" s="28">
        <v>500</v>
      </c>
      <c r="M11" s="28">
        <v>500</v>
      </c>
      <c r="N11" s="28">
        <v>142311.84</v>
      </c>
      <c r="O11" s="28">
        <v>0</v>
      </c>
      <c r="P11" s="29">
        <v>183600.38750000001</v>
      </c>
    </row>
    <row r="12" spans="1:16" s="21" customFormat="1" ht="12" x14ac:dyDescent="0.2">
      <c r="F12" s="25"/>
      <c r="G12" s="30">
        <v>7409.94</v>
      </c>
      <c r="H12" s="31">
        <v>7077.58</v>
      </c>
      <c r="I12" s="31">
        <v>3196.19</v>
      </c>
      <c r="J12" s="31">
        <v>32.32</v>
      </c>
      <c r="K12" s="31">
        <v>636</v>
      </c>
      <c r="L12" s="31">
        <v>56.98</v>
      </c>
      <c r="M12" s="31">
        <v>25500</v>
      </c>
      <c r="N12" s="31">
        <v>198361.88</v>
      </c>
      <c r="O12" s="31">
        <v>0</v>
      </c>
      <c r="P12" s="32">
        <v>242270.89</v>
      </c>
    </row>
    <row r="14" spans="1:16" x14ac:dyDescent="0.2">
      <c r="B14" t="s">
        <v>108</v>
      </c>
      <c r="D14" t="s">
        <v>17</v>
      </c>
      <c r="G14" s="27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1:16" s="21" customFormat="1" ht="12" x14ac:dyDescent="0.2">
      <c r="F15" s="25"/>
      <c r="G15" s="30"/>
      <c r="H15" s="31"/>
      <c r="I15" s="31"/>
      <c r="J15" s="31"/>
      <c r="K15" s="31"/>
      <c r="L15" s="31"/>
      <c r="M15" s="31"/>
      <c r="N15" s="31"/>
      <c r="O15" s="31"/>
      <c r="P15" s="32"/>
    </row>
    <row r="17" spans="2:16" x14ac:dyDescent="0.2">
      <c r="B17" t="s">
        <v>108</v>
      </c>
      <c r="D17" t="s">
        <v>18</v>
      </c>
      <c r="G17" s="27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9">
        <v>0</v>
      </c>
    </row>
    <row r="18" spans="2:16" s="21" customFormat="1" ht="12" x14ac:dyDescent="0.2">
      <c r="F18" s="25"/>
      <c r="G18" s="30"/>
      <c r="H18" s="31"/>
      <c r="I18" s="31"/>
      <c r="J18" s="31"/>
      <c r="K18" s="31"/>
      <c r="L18" s="31"/>
      <c r="M18" s="31"/>
      <c r="N18" s="31"/>
      <c r="O18" s="31"/>
      <c r="P18" s="32"/>
    </row>
    <row r="20" spans="2:16" x14ac:dyDescent="0.2">
      <c r="B20" t="s">
        <v>108</v>
      </c>
      <c r="D20" t="s">
        <v>19</v>
      </c>
      <c r="G20" s="27">
        <f>27192.45+12306</f>
        <v>39498.449999999997</v>
      </c>
      <c r="H20" s="28">
        <v>35469.7428</v>
      </c>
      <c r="I20" s="28">
        <v>41178.94</v>
      </c>
      <c r="J20" s="28">
        <v>2500</v>
      </c>
      <c r="K20" s="28">
        <v>327523.05</v>
      </c>
      <c r="L20" s="28">
        <v>0</v>
      </c>
      <c r="M20" s="28">
        <v>15000</v>
      </c>
      <c r="N20" s="28">
        <v>2237741</v>
      </c>
      <c r="O20" s="28">
        <v>0</v>
      </c>
      <c r="P20" s="29">
        <v>2698911.3328</v>
      </c>
    </row>
    <row r="21" spans="2:16" s="21" customFormat="1" ht="12" x14ac:dyDescent="0.2">
      <c r="F21" s="25"/>
      <c r="G21" s="30">
        <v>25288.94</v>
      </c>
      <c r="H21" s="31">
        <v>23847.46</v>
      </c>
      <c r="I21" s="31">
        <v>34069.910000000003</v>
      </c>
      <c r="J21" s="31">
        <v>614.77</v>
      </c>
      <c r="K21" s="31">
        <v>281169.77</v>
      </c>
      <c r="L21" s="31">
        <v>83.06</v>
      </c>
      <c r="M21" s="31">
        <v>25</v>
      </c>
      <c r="N21" s="31">
        <v>2503249.4900000002</v>
      </c>
      <c r="O21" s="31">
        <v>0</v>
      </c>
      <c r="P21" s="32">
        <v>2868348.4000000004</v>
      </c>
    </row>
    <row r="23" spans="2:16" x14ac:dyDescent="0.2">
      <c r="B23" t="s">
        <v>108</v>
      </c>
      <c r="D23" t="s">
        <v>20</v>
      </c>
      <c r="G23" s="27">
        <f>44591.52+14357</f>
        <v>58948.52</v>
      </c>
      <c r="H23" s="28">
        <v>52935.928110000001</v>
      </c>
      <c r="I23" s="28">
        <v>225000</v>
      </c>
      <c r="J23" s="28">
        <v>5400</v>
      </c>
      <c r="K23" s="28">
        <v>18000</v>
      </c>
      <c r="L23" s="28">
        <v>17200</v>
      </c>
      <c r="M23" s="28">
        <v>4000</v>
      </c>
      <c r="N23" s="28">
        <v>1967750</v>
      </c>
      <c r="O23" s="28">
        <v>0</v>
      </c>
      <c r="P23" s="29">
        <v>2349234.62311</v>
      </c>
    </row>
    <row r="24" spans="2:16" s="21" customFormat="1" ht="12" x14ac:dyDescent="0.2">
      <c r="F24" s="25"/>
      <c r="G24" s="30">
        <v>38353.769999999997</v>
      </c>
      <c r="H24" s="31">
        <v>36508.49</v>
      </c>
      <c r="I24" s="31">
        <v>179995.97</v>
      </c>
      <c r="J24" s="31">
        <v>168.01</v>
      </c>
      <c r="K24" s="31">
        <v>651.13</v>
      </c>
      <c r="L24" s="31">
        <v>0</v>
      </c>
      <c r="M24" s="31">
        <v>0</v>
      </c>
      <c r="N24" s="31">
        <v>2149450</v>
      </c>
      <c r="O24" s="31">
        <v>0</v>
      </c>
      <c r="P24" s="32">
        <v>2405127.37</v>
      </c>
    </row>
    <row r="26" spans="2:16" x14ac:dyDescent="0.2">
      <c r="B26" t="s">
        <v>108</v>
      </c>
      <c r="D26" t="s">
        <v>22</v>
      </c>
      <c r="G26" s="27">
        <f>11727.41+2333</f>
        <v>14060.41</v>
      </c>
      <c r="H26" s="28">
        <v>12625.799179999998</v>
      </c>
      <c r="I26" s="28">
        <v>80346</v>
      </c>
      <c r="J26" s="28">
        <v>300</v>
      </c>
      <c r="K26" s="28">
        <v>24004</v>
      </c>
      <c r="L26" s="28">
        <v>300</v>
      </c>
      <c r="M26" s="28">
        <v>150</v>
      </c>
      <c r="N26" s="28">
        <v>198750</v>
      </c>
      <c r="O26" s="28">
        <v>0</v>
      </c>
      <c r="P26" s="29">
        <v>330535.70918000001</v>
      </c>
    </row>
    <row r="27" spans="2:16" s="21" customFormat="1" ht="12" x14ac:dyDescent="0.2">
      <c r="F27" s="25"/>
      <c r="G27" s="30">
        <v>15139.41</v>
      </c>
      <c r="H27" s="31">
        <v>14271.91</v>
      </c>
      <c r="I27" s="31">
        <v>68263.34</v>
      </c>
      <c r="J27" s="31">
        <v>13.76</v>
      </c>
      <c r="K27" s="31">
        <v>8212.2999999999993</v>
      </c>
      <c r="L27" s="31">
        <v>268.77</v>
      </c>
      <c r="M27" s="31">
        <v>0</v>
      </c>
      <c r="N27" s="31">
        <v>331852.40000000002</v>
      </c>
      <c r="O27" s="31">
        <v>0</v>
      </c>
      <c r="P27" s="32">
        <v>438021.89</v>
      </c>
    </row>
    <row r="29" spans="2:16" x14ac:dyDescent="0.2">
      <c r="B29" t="s">
        <v>108</v>
      </c>
      <c r="D29" t="s">
        <v>21</v>
      </c>
      <c r="G29" s="27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14805</v>
      </c>
      <c r="O29" s="28">
        <v>0</v>
      </c>
      <c r="P29" s="29">
        <v>14805</v>
      </c>
    </row>
    <row r="30" spans="2:16" s="21" customFormat="1" ht="12" x14ac:dyDescent="0.2">
      <c r="F30" s="25"/>
      <c r="G30" s="30"/>
      <c r="H30" s="31"/>
      <c r="I30" s="31"/>
      <c r="J30" s="31"/>
      <c r="K30" s="31"/>
      <c r="L30" s="31"/>
      <c r="M30" s="31"/>
      <c r="N30" s="31"/>
      <c r="O30" s="31"/>
      <c r="P30" s="32"/>
    </row>
    <row r="32" spans="2:16" x14ac:dyDescent="0.2">
      <c r="B32" t="s">
        <v>108</v>
      </c>
      <c r="D32" t="s">
        <v>24</v>
      </c>
      <c r="G32" s="27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9">
        <v>0</v>
      </c>
    </row>
    <row r="33" spans="2:16" s="21" customFormat="1" ht="12" x14ac:dyDescent="0.2">
      <c r="F33" s="25"/>
      <c r="G33" s="30"/>
      <c r="H33" s="31"/>
      <c r="I33" s="31"/>
      <c r="J33" s="31"/>
      <c r="K33" s="31"/>
      <c r="L33" s="31"/>
      <c r="M33" s="31"/>
      <c r="N33" s="31"/>
      <c r="O33" s="31"/>
      <c r="P33" s="32"/>
    </row>
    <row r="35" spans="2:16" x14ac:dyDescent="0.2">
      <c r="B35" t="s">
        <v>108</v>
      </c>
      <c r="D35" t="s">
        <v>109</v>
      </c>
      <c r="G35" s="27">
        <f>15550+1944</f>
        <v>17494</v>
      </c>
      <c r="H35" s="28">
        <v>15709.387499999999</v>
      </c>
      <c r="I35" s="28">
        <v>35272</v>
      </c>
      <c r="J35" s="28">
        <v>250</v>
      </c>
      <c r="K35" s="28">
        <v>28965</v>
      </c>
      <c r="L35" s="28">
        <v>250</v>
      </c>
      <c r="M35" s="28">
        <v>100</v>
      </c>
      <c r="N35" s="28">
        <v>255000</v>
      </c>
      <c r="O35" s="28">
        <v>0</v>
      </c>
      <c r="P35" s="29">
        <v>353040.13750000001</v>
      </c>
    </row>
    <row r="36" spans="2:16" s="21" customFormat="1" ht="12" x14ac:dyDescent="0.2">
      <c r="F36" s="25"/>
      <c r="G36" s="30">
        <v>11612.36</v>
      </c>
      <c r="H36" s="31">
        <v>11030.63</v>
      </c>
      <c r="I36" s="31">
        <v>24212.52</v>
      </c>
      <c r="J36" s="31">
        <v>213.3</v>
      </c>
      <c r="K36" s="31">
        <v>30246.38</v>
      </c>
      <c r="L36" s="31">
        <v>0</v>
      </c>
      <c r="M36" s="31">
        <v>0</v>
      </c>
      <c r="N36" s="31">
        <v>1143957.3500000001</v>
      </c>
      <c r="O36" s="31">
        <v>0</v>
      </c>
      <c r="P36" s="32">
        <v>1221272.54</v>
      </c>
    </row>
    <row r="38" spans="2:16" x14ac:dyDescent="0.2">
      <c r="B38" t="s">
        <v>108</v>
      </c>
      <c r="D38" t="s">
        <v>25</v>
      </c>
      <c r="G38" s="27">
        <v>2332.5</v>
      </c>
      <c r="H38" s="28">
        <v>2094.5849999999996</v>
      </c>
      <c r="I38" s="28">
        <v>9960</v>
      </c>
      <c r="J38" s="28">
        <v>250</v>
      </c>
      <c r="K38" s="28">
        <v>14045.13</v>
      </c>
      <c r="L38" s="28">
        <v>100</v>
      </c>
      <c r="M38" s="28">
        <v>150</v>
      </c>
      <c r="N38" s="28">
        <v>14080</v>
      </c>
      <c r="O38" s="28">
        <v>0</v>
      </c>
      <c r="P38" s="29">
        <v>43012.214999999997</v>
      </c>
    </row>
    <row r="39" spans="2:16" s="21" customFormat="1" ht="12" x14ac:dyDescent="0.2">
      <c r="F39" s="25"/>
      <c r="G39" s="30">
        <v>814.23</v>
      </c>
      <c r="H39" s="31">
        <v>793.67</v>
      </c>
      <c r="I39" s="31">
        <v>0</v>
      </c>
      <c r="J39" s="31">
        <v>328.38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2">
        <v>1936.2800000000002</v>
      </c>
    </row>
    <row r="41" spans="2:16" x14ac:dyDescent="0.2">
      <c r="B41" t="s">
        <v>110</v>
      </c>
      <c r="D41" t="s">
        <v>29</v>
      </c>
      <c r="G41" s="27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9">
        <v>0</v>
      </c>
    </row>
    <row r="42" spans="2:16" s="21" customFormat="1" ht="12" x14ac:dyDescent="0.2">
      <c r="F42" s="25"/>
      <c r="G42" s="30"/>
      <c r="H42" s="31"/>
      <c r="I42" s="31"/>
      <c r="J42" s="31"/>
      <c r="K42" s="31"/>
      <c r="L42" s="31"/>
      <c r="M42" s="31"/>
      <c r="N42" s="31"/>
      <c r="O42" s="31"/>
      <c r="P42" s="32"/>
    </row>
    <row r="44" spans="2:16" x14ac:dyDescent="0.2">
      <c r="B44" t="s">
        <v>110</v>
      </c>
      <c r="D44" t="s">
        <v>28</v>
      </c>
      <c r="G44" s="27">
        <f>11662.5+778</f>
        <v>12440.5</v>
      </c>
      <c r="H44" s="28">
        <v>11171.119999999999</v>
      </c>
      <c r="I44" s="28">
        <v>6000</v>
      </c>
      <c r="J44" s="28">
        <v>0</v>
      </c>
      <c r="K44" s="28">
        <v>0</v>
      </c>
      <c r="L44" s="28">
        <v>1000</v>
      </c>
      <c r="M44" s="28">
        <v>0</v>
      </c>
      <c r="N44" s="28">
        <v>0</v>
      </c>
      <c r="O44" s="28">
        <v>0</v>
      </c>
      <c r="P44" s="29">
        <v>30611.119999999999</v>
      </c>
    </row>
    <row r="45" spans="2:16" s="21" customFormat="1" ht="12" x14ac:dyDescent="0.2">
      <c r="F45" s="25"/>
      <c r="G45" s="30">
        <v>11095.42</v>
      </c>
      <c r="H45" s="31">
        <v>10571.82</v>
      </c>
      <c r="I45" s="31">
        <v>0</v>
      </c>
      <c r="J45" s="31">
        <v>114.73</v>
      </c>
      <c r="K45" s="31">
        <v>0</v>
      </c>
      <c r="L45" s="31">
        <v>1.85</v>
      </c>
      <c r="M45" s="31">
        <v>1250</v>
      </c>
      <c r="N45" s="31">
        <v>0</v>
      </c>
      <c r="O45" s="31">
        <v>0</v>
      </c>
      <c r="P45" s="32">
        <v>23033.82</v>
      </c>
    </row>
    <row r="47" spans="2:16" x14ac:dyDescent="0.2">
      <c r="B47" t="s">
        <v>111</v>
      </c>
      <c r="D47" t="s">
        <v>137</v>
      </c>
      <c r="G47" s="27">
        <f>42762.5+14400</f>
        <v>57162.5</v>
      </c>
      <c r="H47" s="28">
        <v>51331.925000000003</v>
      </c>
      <c r="I47" s="28">
        <v>4000</v>
      </c>
      <c r="J47" s="28">
        <v>1000</v>
      </c>
      <c r="K47" s="28">
        <v>200000</v>
      </c>
      <c r="L47" s="28">
        <v>500</v>
      </c>
      <c r="M47" s="28">
        <v>500</v>
      </c>
      <c r="N47" s="28">
        <v>294464</v>
      </c>
      <c r="O47" s="28">
        <v>0</v>
      </c>
      <c r="P47" s="29">
        <v>608958.42500000005</v>
      </c>
    </row>
    <row r="48" spans="2:16" s="21" customFormat="1" ht="12" x14ac:dyDescent="0.2">
      <c r="F48" s="25"/>
      <c r="G48" s="30">
        <v>24582.6</v>
      </c>
      <c r="H48" s="31">
        <v>23319.98</v>
      </c>
      <c r="I48" s="31">
        <v>1563.95</v>
      </c>
      <c r="J48" s="31">
        <v>651.01</v>
      </c>
      <c r="K48" s="31">
        <v>8963.91</v>
      </c>
      <c r="L48" s="31">
        <v>4271.32</v>
      </c>
      <c r="M48" s="31">
        <v>913.75</v>
      </c>
      <c r="N48" s="31">
        <v>244209.15</v>
      </c>
      <c r="O48" s="31">
        <v>0</v>
      </c>
      <c r="P48" s="32">
        <v>308475.67</v>
      </c>
    </row>
    <row r="50" spans="2:16" x14ac:dyDescent="0.2">
      <c r="B50" t="s">
        <v>112</v>
      </c>
      <c r="D50" t="s">
        <v>34</v>
      </c>
      <c r="G50" s="27">
        <f>17105+7775</f>
        <v>24880</v>
      </c>
      <c r="H50" s="28">
        <v>22342.239999999998</v>
      </c>
      <c r="I50" s="28">
        <v>10000</v>
      </c>
      <c r="J50" s="28">
        <v>500</v>
      </c>
      <c r="K50" s="28">
        <v>0</v>
      </c>
      <c r="L50" s="28">
        <v>500</v>
      </c>
      <c r="M50" s="28">
        <v>500</v>
      </c>
      <c r="N50" s="28">
        <v>159880</v>
      </c>
      <c r="O50" s="28">
        <v>0</v>
      </c>
      <c r="P50" s="29">
        <v>218602.23999999999</v>
      </c>
    </row>
    <row r="51" spans="2:16" s="21" customFormat="1" ht="12" x14ac:dyDescent="0.2">
      <c r="F51" s="25"/>
      <c r="G51" s="30">
        <v>36620.67</v>
      </c>
      <c r="H51" s="31">
        <v>34959.040000000001</v>
      </c>
      <c r="I51" s="31">
        <v>0</v>
      </c>
      <c r="J51" s="31">
        <v>152.12</v>
      </c>
      <c r="K51" s="31">
        <v>1200</v>
      </c>
      <c r="L51" s="31">
        <v>10.51</v>
      </c>
      <c r="M51" s="31">
        <v>0</v>
      </c>
      <c r="N51" s="31">
        <v>466109</v>
      </c>
      <c r="O51" s="31">
        <v>0</v>
      </c>
      <c r="P51" s="32">
        <v>539051.34</v>
      </c>
    </row>
    <row r="53" spans="2:16" s="3" customFormat="1" x14ac:dyDescent="0.2">
      <c r="F53" s="6" t="s">
        <v>35</v>
      </c>
      <c r="G53" s="4">
        <f>G11+G14+G17+G20+G23+G26+G29+G32+G35+G38+G41+G44+G47+G50</f>
        <v>244355.63</v>
      </c>
      <c r="H53" s="4">
        <f t="shared" ref="H53:P53" si="0">H11+H14+H17+H20+H23+H26+H29+H32+H35+H38+H41+H44+H47+H50</f>
        <v>219430.52509000001</v>
      </c>
      <c r="I53" s="4">
        <f t="shared" si="0"/>
        <v>416756.94</v>
      </c>
      <c r="J53" s="4">
        <f t="shared" si="0"/>
        <v>11200</v>
      </c>
      <c r="K53" s="4">
        <f t="shared" si="0"/>
        <v>613537.17999999993</v>
      </c>
      <c r="L53" s="4">
        <f t="shared" si="0"/>
        <v>20350</v>
      </c>
      <c r="M53" s="4">
        <f t="shared" si="0"/>
        <v>20900</v>
      </c>
      <c r="N53" s="4">
        <f t="shared" si="0"/>
        <v>5284781.84</v>
      </c>
      <c r="O53" s="4">
        <f t="shared" si="0"/>
        <v>0</v>
      </c>
      <c r="P53" s="4">
        <f t="shared" si="0"/>
        <v>6831311.1900900006</v>
      </c>
    </row>
    <row r="54" spans="2:16" s="64" customFormat="1" ht="12" x14ac:dyDescent="0.2">
      <c r="F54" s="25" t="s">
        <v>133</v>
      </c>
      <c r="G54" s="65">
        <f>G12+G15+G18+G21+G24+G27+G30+G33+G36+G39+G42+G45+G48+G51</f>
        <v>170917.33999999997</v>
      </c>
      <c r="H54" s="65">
        <f t="shared" ref="H54:P54" si="1">H12+H15+H18+H21+H24+H27+H30+H33+H36+H39+H42+H45+H48+H51</f>
        <v>162380.57999999999</v>
      </c>
      <c r="I54" s="65">
        <f t="shared" si="1"/>
        <v>311301.88000000006</v>
      </c>
      <c r="J54" s="65">
        <f t="shared" si="1"/>
        <v>2288.3999999999996</v>
      </c>
      <c r="K54" s="65">
        <f t="shared" si="1"/>
        <v>331079.49</v>
      </c>
      <c r="L54" s="65">
        <f t="shared" si="1"/>
        <v>4692.49</v>
      </c>
      <c r="M54" s="65">
        <f t="shared" si="1"/>
        <v>27688.75</v>
      </c>
      <c r="N54" s="65">
        <f t="shared" si="1"/>
        <v>7037189.2700000014</v>
      </c>
      <c r="O54" s="65">
        <f t="shared" si="1"/>
        <v>0</v>
      </c>
      <c r="P54" s="65">
        <f t="shared" si="1"/>
        <v>8047538.2000000002</v>
      </c>
    </row>
    <row r="57" spans="2:16" x14ac:dyDescent="0.2">
      <c r="B57" t="s">
        <v>113</v>
      </c>
    </row>
    <row r="58" spans="2:16" x14ac:dyDescent="0.2">
      <c r="F58" s="18" t="s">
        <v>131</v>
      </c>
    </row>
    <row r="59" spans="2:16" x14ac:dyDescent="0.2">
      <c r="B59" t="s">
        <v>114</v>
      </c>
      <c r="D59" t="s">
        <v>38</v>
      </c>
      <c r="G59" s="27">
        <f>281700+10000</f>
        <v>291700</v>
      </c>
      <c r="H59" s="28">
        <v>261957</v>
      </c>
      <c r="I59" s="28">
        <v>0</v>
      </c>
      <c r="J59" s="28">
        <v>8000</v>
      </c>
      <c r="K59" s="28">
        <v>135000</v>
      </c>
      <c r="L59" s="28">
        <v>2000</v>
      </c>
      <c r="M59" s="28">
        <v>0</v>
      </c>
      <c r="N59" s="28">
        <v>1300000</v>
      </c>
      <c r="O59" s="28"/>
      <c r="P59" s="29">
        <v>1998657</v>
      </c>
    </row>
    <row r="60" spans="2:16" s="21" customFormat="1" ht="12" x14ac:dyDescent="0.2">
      <c r="F60" s="25"/>
      <c r="G60" s="30">
        <v>136720.91</v>
      </c>
      <c r="H60" s="31">
        <v>129811.17</v>
      </c>
      <c r="I60" s="31">
        <v>0</v>
      </c>
      <c r="J60" s="31">
        <v>3185.72</v>
      </c>
      <c r="K60" s="31">
        <v>221917.3</v>
      </c>
      <c r="L60" s="31">
        <v>279.83999999999997</v>
      </c>
      <c r="M60" s="31">
        <v>3687</v>
      </c>
      <c r="N60" s="31">
        <v>1292530.3199999998</v>
      </c>
      <c r="O60" s="31">
        <v>-44427</v>
      </c>
      <c r="P60" s="32">
        <v>1743705.2599999998</v>
      </c>
    </row>
    <row r="62" spans="2:16" x14ac:dyDescent="0.2">
      <c r="B62" t="s">
        <v>115</v>
      </c>
      <c r="D62" t="s">
        <v>41</v>
      </c>
      <c r="G62" s="27">
        <f>51300+1367</f>
        <v>52667</v>
      </c>
      <c r="H62" s="28">
        <v>47260.143499999998</v>
      </c>
      <c r="I62" s="28">
        <v>9000</v>
      </c>
      <c r="J62" s="28">
        <v>1000</v>
      </c>
      <c r="K62" s="28">
        <v>12000</v>
      </c>
      <c r="L62" s="28">
        <v>1000</v>
      </c>
      <c r="M62" s="28">
        <v>2000</v>
      </c>
      <c r="N62" s="28">
        <v>410000</v>
      </c>
      <c r="O62" s="28"/>
      <c r="P62" s="29">
        <v>534927.49349999998</v>
      </c>
    </row>
    <row r="63" spans="2:16" s="21" customFormat="1" ht="12" x14ac:dyDescent="0.2">
      <c r="F63" s="25"/>
      <c r="G63" s="30">
        <v>16284.14</v>
      </c>
      <c r="H63" s="31">
        <v>15784.83</v>
      </c>
      <c r="I63" s="31">
        <v>95.81</v>
      </c>
      <c r="J63" s="31">
        <v>147.41999999999999</v>
      </c>
      <c r="K63" s="31">
        <v>41572.6</v>
      </c>
      <c r="L63" s="31">
        <v>1093.95</v>
      </c>
      <c r="M63" s="31">
        <v>5348.25</v>
      </c>
      <c r="N63" s="31">
        <v>66140.94</v>
      </c>
      <c r="O63" s="31">
        <v>44427</v>
      </c>
      <c r="P63" s="32">
        <v>190894.94</v>
      </c>
    </row>
    <row r="65" spans="2:16" x14ac:dyDescent="0.2">
      <c r="D65" t="s">
        <v>42</v>
      </c>
      <c r="G65" s="27">
        <f>G68+G71</f>
        <v>175655.37</v>
      </c>
      <c r="H65" s="28">
        <f t="shared" ref="H65:P65" si="2">H68+H71</f>
        <v>157718.52226</v>
      </c>
      <c r="I65" s="28">
        <f t="shared" si="2"/>
        <v>0</v>
      </c>
      <c r="J65" s="28">
        <f t="shared" si="2"/>
        <v>8700</v>
      </c>
      <c r="K65" s="28">
        <f t="shared" si="2"/>
        <v>43250</v>
      </c>
      <c r="L65" s="28">
        <f t="shared" si="2"/>
        <v>1000</v>
      </c>
      <c r="M65" s="28">
        <f t="shared" si="2"/>
        <v>5000</v>
      </c>
      <c r="N65" s="28">
        <f t="shared" si="2"/>
        <v>155000</v>
      </c>
      <c r="O65" s="28">
        <f t="shared" si="2"/>
        <v>0</v>
      </c>
      <c r="P65" s="29">
        <f t="shared" si="2"/>
        <v>546323.89225999999</v>
      </c>
    </row>
    <row r="66" spans="2:16" s="21" customFormat="1" ht="12" x14ac:dyDescent="0.2">
      <c r="F66" s="25"/>
      <c r="G66" s="38">
        <f>G69+G72</f>
        <v>159599.05000000002</v>
      </c>
      <c r="H66" s="37">
        <f t="shared" ref="H66:O66" si="3">H69+H72</f>
        <v>151692.69</v>
      </c>
      <c r="I66" s="37">
        <f t="shared" si="3"/>
        <v>250</v>
      </c>
      <c r="J66" s="37">
        <f t="shared" si="3"/>
        <v>2433.1799999999998</v>
      </c>
      <c r="K66" s="37">
        <f t="shared" si="3"/>
        <v>15789.6</v>
      </c>
      <c r="L66" s="37">
        <f t="shared" si="3"/>
        <v>2233.62</v>
      </c>
      <c r="M66" s="37">
        <f t="shared" si="3"/>
        <v>0</v>
      </c>
      <c r="N66" s="37">
        <f t="shared" si="3"/>
        <v>163082.20000000001</v>
      </c>
      <c r="O66" s="37">
        <f t="shared" si="3"/>
        <v>0</v>
      </c>
      <c r="P66" s="39">
        <f>P69+P72</f>
        <v>495080.34</v>
      </c>
    </row>
    <row r="67" spans="2:16" x14ac:dyDescent="0.2">
      <c r="G67" s="40"/>
      <c r="H67" s="41"/>
      <c r="I67" s="41"/>
      <c r="J67" s="41"/>
      <c r="K67" s="41"/>
      <c r="L67" s="41"/>
      <c r="M67" s="41"/>
      <c r="N67" s="41"/>
      <c r="O67" s="41"/>
      <c r="P67" s="42"/>
    </row>
    <row r="68" spans="2:16" s="2" customFormat="1" x14ac:dyDescent="0.2">
      <c r="B68" s="2" t="s">
        <v>116</v>
      </c>
      <c r="E68" s="2" t="s">
        <v>44</v>
      </c>
      <c r="F68" s="7"/>
      <c r="G68" s="43">
        <v>165000</v>
      </c>
      <c r="H68" s="44">
        <v>148150</v>
      </c>
      <c r="I68" s="44">
        <v>0</v>
      </c>
      <c r="J68" s="44">
        <v>8000</v>
      </c>
      <c r="K68" s="44">
        <v>40000</v>
      </c>
      <c r="L68" s="44">
        <v>1000</v>
      </c>
      <c r="M68" s="44">
        <v>5000</v>
      </c>
      <c r="N68" s="44">
        <v>155000</v>
      </c>
      <c r="O68" s="44"/>
      <c r="P68" s="45">
        <v>522150</v>
      </c>
    </row>
    <row r="69" spans="2:16" s="23" customFormat="1" ht="12" x14ac:dyDescent="0.2">
      <c r="F69" s="63"/>
      <c r="G69" s="46">
        <v>158409.29</v>
      </c>
      <c r="H69" s="47">
        <v>150581.13</v>
      </c>
      <c r="I69" s="47">
        <v>250</v>
      </c>
      <c r="J69" s="47">
        <v>2433.1799999999998</v>
      </c>
      <c r="K69" s="47">
        <v>15789.6</v>
      </c>
      <c r="L69" s="47">
        <v>2233.62</v>
      </c>
      <c r="M69" s="47">
        <v>0</v>
      </c>
      <c r="N69" s="47">
        <v>163082.20000000001</v>
      </c>
      <c r="O69" s="47">
        <v>0</v>
      </c>
      <c r="P69" s="48">
        <v>492779.02</v>
      </c>
    </row>
    <row r="70" spans="2:16" s="2" customFormat="1" x14ac:dyDescent="0.2">
      <c r="F70" s="7"/>
      <c r="G70" s="43"/>
      <c r="H70" s="44"/>
      <c r="I70" s="44"/>
      <c r="J70" s="44"/>
      <c r="K70" s="44"/>
      <c r="L70" s="44"/>
      <c r="M70" s="44"/>
      <c r="N70" s="44"/>
      <c r="O70" s="44"/>
      <c r="P70" s="45"/>
    </row>
    <row r="71" spans="2:16" s="2" customFormat="1" x14ac:dyDescent="0.2">
      <c r="E71" s="2" t="s">
        <v>45</v>
      </c>
      <c r="F71" s="7"/>
      <c r="G71" s="43">
        <f>10155.37+500</f>
        <v>10655.37</v>
      </c>
      <c r="H71" s="44">
        <v>9568.5222599999997</v>
      </c>
      <c r="I71" s="44">
        <v>0</v>
      </c>
      <c r="J71" s="44">
        <v>700</v>
      </c>
      <c r="K71" s="44">
        <v>3250</v>
      </c>
      <c r="L71" s="44">
        <v>0</v>
      </c>
      <c r="M71" s="44">
        <v>0</v>
      </c>
      <c r="N71" s="44">
        <v>0</v>
      </c>
      <c r="O71" s="44">
        <v>0</v>
      </c>
      <c r="P71" s="45">
        <v>24173.892260000001</v>
      </c>
    </row>
    <row r="72" spans="2:16" s="23" customFormat="1" ht="12" x14ac:dyDescent="0.2">
      <c r="F72" s="63"/>
      <c r="G72" s="49">
        <v>1189.76</v>
      </c>
      <c r="H72" s="50">
        <v>1111.56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1">
        <v>2301.3199999999997</v>
      </c>
    </row>
    <row r="74" spans="2:16" x14ac:dyDescent="0.2">
      <c r="B74" t="s">
        <v>117</v>
      </c>
      <c r="D74" t="s">
        <v>51</v>
      </c>
      <c r="G74" s="27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/>
      <c r="P74" s="29">
        <v>0</v>
      </c>
    </row>
    <row r="75" spans="2:16" s="21" customFormat="1" ht="12" x14ac:dyDescent="0.2">
      <c r="F75" s="25"/>
      <c r="G75" s="30"/>
      <c r="H75" s="31"/>
      <c r="I75" s="31"/>
      <c r="J75" s="31"/>
      <c r="K75" s="31"/>
      <c r="L75" s="31"/>
      <c r="M75" s="31"/>
      <c r="N75" s="31"/>
      <c r="O75" s="31"/>
      <c r="P75" s="32"/>
    </row>
    <row r="77" spans="2:16" x14ac:dyDescent="0.2">
      <c r="B77" t="s">
        <v>118</v>
      </c>
      <c r="D77" t="s">
        <v>53</v>
      </c>
      <c r="G77" s="27">
        <f>G80+G83+G86+G89+G92</f>
        <v>82680.11</v>
      </c>
      <c r="H77" s="28">
        <f t="shared" ref="H77:P77" si="4">H80+H83+H86+H89+H92</f>
        <v>74246.738779999985</v>
      </c>
      <c r="I77" s="28">
        <f t="shared" si="4"/>
        <v>25250</v>
      </c>
      <c r="J77" s="28">
        <f t="shared" si="4"/>
        <v>6225</v>
      </c>
      <c r="K77" s="28">
        <f t="shared" si="4"/>
        <v>172891.03</v>
      </c>
      <c r="L77" s="28">
        <f t="shared" si="4"/>
        <v>840</v>
      </c>
      <c r="M77" s="28">
        <f t="shared" si="4"/>
        <v>74154.5</v>
      </c>
      <c r="N77" s="28">
        <f t="shared" si="4"/>
        <v>1259036.5</v>
      </c>
      <c r="O77" s="28">
        <f t="shared" si="4"/>
        <v>0</v>
      </c>
      <c r="P77" s="29">
        <f t="shared" si="4"/>
        <v>1695323.8787799999</v>
      </c>
    </row>
    <row r="78" spans="2:16" s="21" customFormat="1" ht="12" x14ac:dyDescent="0.2">
      <c r="F78" s="25"/>
      <c r="G78" s="38">
        <f>G81+G84+G87+G90+G93</f>
        <v>76837.45</v>
      </c>
      <c r="H78" s="37">
        <f t="shared" ref="H78:O78" si="5">H81+H84+H87+H90+H93</f>
        <v>73089.739999999991</v>
      </c>
      <c r="I78" s="37">
        <f t="shared" si="5"/>
        <v>672.5</v>
      </c>
      <c r="J78" s="37">
        <f t="shared" si="5"/>
        <v>3459.5600000000004</v>
      </c>
      <c r="K78" s="37">
        <f t="shared" si="5"/>
        <v>89540.459999999992</v>
      </c>
      <c r="L78" s="37">
        <f t="shared" si="5"/>
        <v>103.35</v>
      </c>
      <c r="M78" s="37">
        <f t="shared" si="5"/>
        <v>622.5</v>
      </c>
      <c r="N78" s="37">
        <f t="shared" si="5"/>
        <v>276491.31</v>
      </c>
      <c r="O78" s="37">
        <f t="shared" si="5"/>
        <v>0</v>
      </c>
      <c r="P78" s="39">
        <f>P81+P84+P87+P90+P93</f>
        <v>520816.87</v>
      </c>
    </row>
    <row r="79" spans="2:16" x14ac:dyDescent="0.2">
      <c r="G79" s="40"/>
      <c r="H79" s="41"/>
      <c r="I79" s="41"/>
      <c r="J79" s="41"/>
      <c r="K79" s="41"/>
      <c r="L79" s="41"/>
      <c r="M79" s="41"/>
      <c r="N79" s="41"/>
      <c r="O79" s="41"/>
      <c r="P79" s="42"/>
    </row>
    <row r="80" spans="2:16" s="2" customFormat="1" x14ac:dyDescent="0.2">
      <c r="B80" s="2" t="s">
        <v>118</v>
      </c>
      <c r="E80" s="2" t="s">
        <v>119</v>
      </c>
      <c r="F80" s="7"/>
      <c r="G80" s="43">
        <v>23224.75</v>
      </c>
      <c r="H80" s="44">
        <v>20855.825499999999</v>
      </c>
      <c r="I80" s="44">
        <v>15000</v>
      </c>
      <c r="J80" s="44">
        <v>5225</v>
      </c>
      <c r="K80" s="44">
        <v>600</v>
      </c>
      <c r="L80" s="44">
        <v>240</v>
      </c>
      <c r="M80" s="44">
        <v>0</v>
      </c>
      <c r="N80" s="44">
        <v>366102</v>
      </c>
      <c r="O80" s="44">
        <v>0</v>
      </c>
      <c r="P80" s="45">
        <v>431247.57549999998</v>
      </c>
    </row>
    <row r="81" spans="2:16" s="23" customFormat="1" ht="12" x14ac:dyDescent="0.2">
      <c r="F81" s="63"/>
      <c r="G81" s="46">
        <v>14734.14</v>
      </c>
      <c r="H81" s="47">
        <v>14021.58</v>
      </c>
      <c r="I81" s="47">
        <v>13.75</v>
      </c>
      <c r="J81" s="47">
        <v>1570.91</v>
      </c>
      <c r="K81" s="47">
        <v>150</v>
      </c>
      <c r="L81" s="47">
        <v>55.49</v>
      </c>
      <c r="M81" s="47">
        <v>217.5</v>
      </c>
      <c r="N81" s="47">
        <v>251860</v>
      </c>
      <c r="O81" s="47">
        <v>0</v>
      </c>
      <c r="P81" s="48">
        <v>282623.37</v>
      </c>
    </row>
    <row r="82" spans="2:16" s="2" customFormat="1" x14ac:dyDescent="0.2">
      <c r="F82" s="7"/>
      <c r="G82" s="43"/>
      <c r="H82" s="44"/>
      <c r="I82" s="44"/>
      <c r="J82" s="44"/>
      <c r="K82" s="44"/>
      <c r="L82" s="44"/>
      <c r="M82" s="44"/>
      <c r="N82" s="44"/>
      <c r="O82" s="44"/>
      <c r="P82" s="45"/>
    </row>
    <row r="83" spans="2:16" s="2" customFormat="1" x14ac:dyDescent="0.2">
      <c r="B83" s="2" t="s">
        <v>118</v>
      </c>
      <c r="E83" s="2" t="s">
        <v>55</v>
      </c>
      <c r="F83" s="7"/>
      <c r="G83" s="43">
        <v>13934.849999999999</v>
      </c>
      <c r="H83" s="44">
        <v>12513.495299999997</v>
      </c>
      <c r="I83" s="44">
        <v>0</v>
      </c>
      <c r="J83" s="44">
        <v>500</v>
      </c>
      <c r="K83" s="44">
        <v>55976.03</v>
      </c>
      <c r="L83" s="44">
        <v>100</v>
      </c>
      <c r="M83" s="44">
        <v>120</v>
      </c>
      <c r="N83" s="44">
        <v>123800</v>
      </c>
      <c r="O83" s="44">
        <v>0</v>
      </c>
      <c r="P83" s="45">
        <v>206944.37529999999</v>
      </c>
    </row>
    <row r="84" spans="2:16" s="23" customFormat="1" ht="12" x14ac:dyDescent="0.2">
      <c r="F84" s="63"/>
      <c r="G84" s="46">
        <v>17957.490000000002</v>
      </c>
      <c r="H84" s="47">
        <v>17210.38</v>
      </c>
      <c r="I84" s="47">
        <v>0</v>
      </c>
      <c r="J84" s="47">
        <v>91.78</v>
      </c>
      <c r="K84" s="47">
        <v>44409.96</v>
      </c>
      <c r="L84" s="47">
        <v>0</v>
      </c>
      <c r="M84" s="47">
        <v>93.75</v>
      </c>
      <c r="N84" s="47">
        <v>11069.99</v>
      </c>
      <c r="O84" s="47">
        <v>0</v>
      </c>
      <c r="P84" s="48">
        <v>90833.35</v>
      </c>
    </row>
    <row r="85" spans="2:16" s="2" customFormat="1" x14ac:dyDescent="0.2">
      <c r="F85" s="7"/>
      <c r="G85" s="43"/>
      <c r="H85" s="44"/>
      <c r="I85" s="44"/>
      <c r="J85" s="44"/>
      <c r="K85" s="44"/>
      <c r="L85" s="44"/>
      <c r="M85" s="44"/>
      <c r="N85" s="44"/>
      <c r="O85" s="44"/>
      <c r="P85" s="45"/>
    </row>
    <row r="86" spans="2:16" s="2" customFormat="1" x14ac:dyDescent="0.2">
      <c r="B86" s="2" t="s">
        <v>118</v>
      </c>
      <c r="E86" s="2" t="s">
        <v>56</v>
      </c>
      <c r="F86" s="7"/>
      <c r="G86" s="43">
        <v>16721.820000000003</v>
      </c>
      <c r="H86" s="44">
        <v>15016.194360000001</v>
      </c>
      <c r="I86" s="44">
        <v>0</v>
      </c>
      <c r="J86" s="44">
        <v>0</v>
      </c>
      <c r="K86" s="44">
        <v>315</v>
      </c>
      <c r="L86" s="44">
        <v>0</v>
      </c>
      <c r="M86" s="44">
        <v>4725</v>
      </c>
      <c r="N86" s="44">
        <v>0</v>
      </c>
      <c r="O86" s="44">
        <v>0</v>
      </c>
      <c r="P86" s="45">
        <v>36778.014360000001</v>
      </c>
    </row>
    <row r="87" spans="2:16" s="23" customFormat="1" ht="12" x14ac:dyDescent="0.2">
      <c r="F87" s="63"/>
      <c r="G87" s="46">
        <v>83.38</v>
      </c>
      <c r="H87" s="47">
        <v>78.510000000000005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-454</v>
      </c>
      <c r="O87" s="47">
        <v>0</v>
      </c>
      <c r="P87" s="48">
        <v>-292.11</v>
      </c>
    </row>
    <row r="88" spans="2:16" s="2" customFormat="1" x14ac:dyDescent="0.2">
      <c r="F88" s="7"/>
      <c r="G88" s="43"/>
      <c r="H88" s="44"/>
      <c r="I88" s="44"/>
      <c r="J88" s="44"/>
      <c r="K88" s="44"/>
      <c r="L88" s="44"/>
      <c r="M88" s="44"/>
      <c r="N88" s="44"/>
      <c r="O88" s="44"/>
      <c r="P88" s="45"/>
    </row>
    <row r="89" spans="2:16" s="2" customFormat="1" x14ac:dyDescent="0.2">
      <c r="B89" s="2" t="s">
        <v>118</v>
      </c>
      <c r="E89" s="2" t="s">
        <v>57</v>
      </c>
      <c r="F89" s="7"/>
      <c r="G89" s="43">
        <v>9289.9</v>
      </c>
      <c r="H89" s="44">
        <v>8342.3302000000003</v>
      </c>
      <c r="I89" s="44">
        <v>10000</v>
      </c>
      <c r="J89" s="44">
        <v>500</v>
      </c>
      <c r="K89" s="44">
        <v>110000</v>
      </c>
      <c r="L89" s="44">
        <v>500</v>
      </c>
      <c r="M89" s="44">
        <v>500</v>
      </c>
      <c r="N89" s="44">
        <v>747959</v>
      </c>
      <c r="O89" s="44">
        <v>0</v>
      </c>
      <c r="P89" s="45">
        <v>887091.23019999999</v>
      </c>
    </row>
    <row r="90" spans="2:16" s="23" customFormat="1" ht="12" x14ac:dyDescent="0.2">
      <c r="F90" s="63"/>
      <c r="G90" s="46">
        <v>24195.38</v>
      </c>
      <c r="H90" s="47">
        <v>22927.62</v>
      </c>
      <c r="I90" s="47">
        <v>658.75</v>
      </c>
      <c r="J90" s="47">
        <v>1560.28</v>
      </c>
      <c r="K90" s="47">
        <v>1593.15</v>
      </c>
      <c r="L90" s="47">
        <v>47.86</v>
      </c>
      <c r="M90" s="47">
        <v>311.25</v>
      </c>
      <c r="N90" s="47">
        <v>12040.05</v>
      </c>
      <c r="O90" s="47">
        <v>0</v>
      </c>
      <c r="P90" s="48">
        <v>63334.34</v>
      </c>
    </row>
    <row r="91" spans="2:16" s="2" customFormat="1" x14ac:dyDescent="0.2">
      <c r="F91" s="7"/>
      <c r="G91" s="43"/>
      <c r="H91" s="44"/>
      <c r="I91" s="44"/>
      <c r="J91" s="44"/>
      <c r="K91" s="44"/>
      <c r="L91" s="44"/>
      <c r="M91" s="44"/>
      <c r="N91" s="44"/>
      <c r="O91" s="44"/>
      <c r="P91" s="45"/>
    </row>
    <row r="92" spans="2:16" s="2" customFormat="1" x14ac:dyDescent="0.2">
      <c r="B92" s="2" t="s">
        <v>118</v>
      </c>
      <c r="E92" s="2" t="s">
        <v>58</v>
      </c>
      <c r="F92" s="7"/>
      <c r="G92" s="43">
        <v>19508.79</v>
      </c>
      <c r="H92" s="44">
        <v>17518.89342</v>
      </c>
      <c r="I92" s="44">
        <v>250</v>
      </c>
      <c r="J92" s="44">
        <v>0</v>
      </c>
      <c r="K92" s="44">
        <v>6000</v>
      </c>
      <c r="L92" s="44">
        <v>0</v>
      </c>
      <c r="M92" s="44">
        <v>68809.5</v>
      </c>
      <c r="N92" s="44">
        <v>21175.5</v>
      </c>
      <c r="O92" s="44">
        <v>0</v>
      </c>
      <c r="P92" s="45">
        <v>133262.68342000002</v>
      </c>
    </row>
    <row r="93" spans="2:16" s="23" customFormat="1" ht="12" x14ac:dyDescent="0.2">
      <c r="F93" s="63"/>
      <c r="G93" s="49">
        <v>19867.060000000001</v>
      </c>
      <c r="H93" s="50">
        <v>18851.650000000001</v>
      </c>
      <c r="I93" s="50">
        <v>0</v>
      </c>
      <c r="J93" s="50">
        <v>236.59</v>
      </c>
      <c r="K93" s="50">
        <v>43387.35</v>
      </c>
      <c r="L93" s="50">
        <v>0</v>
      </c>
      <c r="M93" s="50">
        <v>0</v>
      </c>
      <c r="N93" s="50">
        <v>1975.27</v>
      </c>
      <c r="O93" s="50">
        <v>0</v>
      </c>
      <c r="P93" s="51">
        <v>84317.920000000013</v>
      </c>
    </row>
    <row r="95" spans="2:16" s="3" customFormat="1" x14ac:dyDescent="0.2">
      <c r="F95" s="6" t="s">
        <v>59</v>
      </c>
      <c r="G95" s="4">
        <f>G59+G62+G65+G74+G77</f>
        <v>602702.48</v>
      </c>
      <c r="H95" s="4">
        <f t="shared" ref="H95:P95" si="6">H59+H62+H65+H74+H77</f>
        <v>541182.40454000002</v>
      </c>
      <c r="I95" s="4">
        <f t="shared" si="6"/>
        <v>34250</v>
      </c>
      <c r="J95" s="4">
        <f t="shared" si="6"/>
        <v>23925</v>
      </c>
      <c r="K95" s="4">
        <f t="shared" si="6"/>
        <v>363141.03</v>
      </c>
      <c r="L95" s="4">
        <f t="shared" si="6"/>
        <v>4840</v>
      </c>
      <c r="M95" s="4">
        <f t="shared" si="6"/>
        <v>81154.5</v>
      </c>
      <c r="N95" s="4">
        <f t="shared" si="6"/>
        <v>3124036.5</v>
      </c>
      <c r="O95" s="4">
        <f t="shared" si="6"/>
        <v>0</v>
      </c>
      <c r="P95" s="4">
        <f t="shared" si="6"/>
        <v>4775232.2645399999</v>
      </c>
    </row>
    <row r="96" spans="2:16" s="64" customFormat="1" ht="12" x14ac:dyDescent="0.2">
      <c r="F96" s="25" t="s">
        <v>133</v>
      </c>
      <c r="G96" s="65">
        <f>G60+G63+G66+G75+G78</f>
        <v>389441.55</v>
      </c>
      <c r="H96" s="65">
        <f t="shared" ref="H96:P96" si="7">H60+H63+H66+H75+H78</f>
        <v>370378.43</v>
      </c>
      <c r="I96" s="65">
        <f t="shared" si="7"/>
        <v>1018.31</v>
      </c>
      <c r="J96" s="65">
        <f t="shared" si="7"/>
        <v>9225.880000000001</v>
      </c>
      <c r="K96" s="65">
        <f t="shared" si="7"/>
        <v>368819.95999999996</v>
      </c>
      <c r="L96" s="65">
        <f t="shared" si="7"/>
        <v>3710.7599999999998</v>
      </c>
      <c r="M96" s="65">
        <f t="shared" si="7"/>
        <v>9657.75</v>
      </c>
      <c r="N96" s="65">
        <f t="shared" si="7"/>
        <v>1798244.7699999998</v>
      </c>
      <c r="O96" s="65">
        <f t="shared" si="7"/>
        <v>0</v>
      </c>
      <c r="P96" s="65">
        <f t="shared" si="7"/>
        <v>2950497.4099999997</v>
      </c>
    </row>
    <row r="99" spans="2:16" x14ac:dyDescent="0.2">
      <c r="B99" t="s">
        <v>60</v>
      </c>
    </row>
    <row r="100" spans="2:16" x14ac:dyDescent="0.2">
      <c r="F100" s="18" t="s">
        <v>131</v>
      </c>
    </row>
    <row r="101" spans="2:16" x14ac:dyDescent="0.2">
      <c r="B101" t="s">
        <v>120</v>
      </c>
      <c r="D101" t="s">
        <v>62</v>
      </c>
      <c r="G101" s="27">
        <f>10107.5+2333</f>
        <v>12440.5</v>
      </c>
      <c r="H101" s="28">
        <v>11171.119999999999</v>
      </c>
      <c r="I101" s="28">
        <v>10050</v>
      </c>
      <c r="J101" s="28">
        <v>1000</v>
      </c>
      <c r="K101" s="28">
        <v>77479</v>
      </c>
      <c r="L101" s="28">
        <v>500</v>
      </c>
      <c r="M101" s="28">
        <v>250</v>
      </c>
      <c r="N101" s="28">
        <v>77479</v>
      </c>
      <c r="O101" s="28">
        <v>0</v>
      </c>
      <c r="P101" s="29">
        <v>190369.12</v>
      </c>
    </row>
    <row r="102" spans="2:16" s="21" customFormat="1" ht="12" x14ac:dyDescent="0.2">
      <c r="F102" s="25"/>
      <c r="G102" s="30">
        <v>10999.47</v>
      </c>
      <c r="H102" s="31">
        <v>10310.74</v>
      </c>
      <c r="I102" s="31">
        <v>0</v>
      </c>
      <c r="J102" s="31">
        <v>323.88</v>
      </c>
      <c r="K102" s="31">
        <v>246125.8</v>
      </c>
      <c r="L102" s="31">
        <v>0</v>
      </c>
      <c r="M102" s="31">
        <v>10000</v>
      </c>
      <c r="N102" s="31">
        <v>126038.97</v>
      </c>
      <c r="O102" s="31">
        <v>0</v>
      </c>
      <c r="P102" s="32">
        <v>403798.86</v>
      </c>
    </row>
    <row r="104" spans="2:16" x14ac:dyDescent="0.2">
      <c r="B104" t="s">
        <v>120</v>
      </c>
      <c r="D104" t="s">
        <v>63</v>
      </c>
      <c r="G104" s="27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9">
        <v>0</v>
      </c>
    </row>
    <row r="105" spans="2:16" s="21" customFormat="1" ht="12" x14ac:dyDescent="0.2">
      <c r="F105" s="25"/>
      <c r="G105" s="30"/>
      <c r="H105" s="31"/>
      <c r="I105" s="31"/>
      <c r="J105" s="31"/>
      <c r="K105" s="31"/>
      <c r="L105" s="31"/>
      <c r="M105" s="31"/>
      <c r="N105" s="31"/>
      <c r="O105" s="31"/>
      <c r="P105" s="32"/>
    </row>
    <row r="107" spans="2:16" s="3" customFormat="1" x14ac:dyDescent="0.2">
      <c r="F107" s="6" t="s">
        <v>64</v>
      </c>
      <c r="G107" s="4">
        <f>G101+G104</f>
        <v>12440.5</v>
      </c>
      <c r="H107" s="4">
        <f t="shared" ref="H107:P107" si="8">H101+H104</f>
        <v>11171.119999999999</v>
      </c>
      <c r="I107" s="4">
        <f t="shared" si="8"/>
        <v>10050</v>
      </c>
      <c r="J107" s="4">
        <f t="shared" si="8"/>
        <v>1000</v>
      </c>
      <c r="K107" s="4">
        <f t="shared" si="8"/>
        <v>77479</v>
      </c>
      <c r="L107" s="4">
        <f t="shared" si="8"/>
        <v>500</v>
      </c>
      <c r="M107" s="4">
        <f t="shared" si="8"/>
        <v>250</v>
      </c>
      <c r="N107" s="4">
        <f t="shared" si="8"/>
        <v>77479</v>
      </c>
      <c r="O107" s="4">
        <f t="shared" si="8"/>
        <v>0</v>
      </c>
      <c r="P107" s="4">
        <f t="shared" si="8"/>
        <v>190369.12</v>
      </c>
    </row>
    <row r="108" spans="2:16" s="64" customFormat="1" ht="12" x14ac:dyDescent="0.2">
      <c r="F108" s="25" t="s">
        <v>133</v>
      </c>
      <c r="G108" s="65">
        <f>G102+G105</f>
        <v>10999.47</v>
      </c>
      <c r="H108" s="65">
        <f t="shared" ref="H108:P108" si="9">H102+H105</f>
        <v>10310.74</v>
      </c>
      <c r="I108" s="65">
        <f t="shared" si="9"/>
        <v>0</v>
      </c>
      <c r="J108" s="65">
        <f t="shared" si="9"/>
        <v>323.88</v>
      </c>
      <c r="K108" s="65">
        <f t="shared" si="9"/>
        <v>246125.8</v>
      </c>
      <c r="L108" s="65">
        <f t="shared" si="9"/>
        <v>0</v>
      </c>
      <c r="M108" s="65">
        <f t="shared" si="9"/>
        <v>10000</v>
      </c>
      <c r="N108" s="65">
        <f t="shared" si="9"/>
        <v>126038.97</v>
      </c>
      <c r="O108" s="65">
        <f t="shared" si="9"/>
        <v>0</v>
      </c>
      <c r="P108" s="65">
        <f t="shared" si="9"/>
        <v>403798.86</v>
      </c>
    </row>
    <row r="109" spans="2:16" s="10" customFormat="1" x14ac:dyDescent="0.2">
      <c r="F109" s="17"/>
      <c r="G109" s="66"/>
      <c r="H109" s="66"/>
      <c r="I109" s="66"/>
      <c r="J109" s="66"/>
      <c r="K109" s="66"/>
      <c r="L109" s="66"/>
      <c r="M109" s="66"/>
      <c r="N109" s="66"/>
      <c r="O109" s="66"/>
      <c r="P109" s="66"/>
    </row>
    <row r="111" spans="2:16" x14ac:dyDescent="0.2">
      <c r="B111" t="s">
        <v>65</v>
      </c>
    </row>
    <row r="112" spans="2:16" x14ac:dyDescent="0.2">
      <c r="F112" s="18" t="s">
        <v>131</v>
      </c>
    </row>
    <row r="113" spans="2:19" x14ac:dyDescent="0.2">
      <c r="D113" t="s">
        <v>121</v>
      </c>
      <c r="G113" s="27">
        <v>0</v>
      </c>
      <c r="H113" s="28">
        <v>0</v>
      </c>
      <c r="I113" s="28">
        <v>0</v>
      </c>
      <c r="J113" s="28">
        <v>0</v>
      </c>
      <c r="K113" s="28">
        <v>1389079</v>
      </c>
      <c r="L113" s="28">
        <v>0</v>
      </c>
      <c r="M113" s="28">
        <v>0</v>
      </c>
      <c r="N113" s="28">
        <v>0</v>
      </c>
      <c r="O113" s="28"/>
      <c r="P113" s="29">
        <v>1389079</v>
      </c>
    </row>
    <row r="114" spans="2:19" s="21" customFormat="1" ht="12" x14ac:dyDescent="0.2">
      <c r="F114" s="25"/>
      <c r="G114" s="30">
        <v>5910.23</v>
      </c>
      <c r="H114" s="31">
        <v>5882.62</v>
      </c>
      <c r="I114" s="31">
        <v>0</v>
      </c>
      <c r="J114" s="31">
        <v>1116.21</v>
      </c>
      <c r="K114" s="31">
        <v>1736375</v>
      </c>
      <c r="L114" s="31">
        <v>0</v>
      </c>
      <c r="M114" s="31">
        <v>0</v>
      </c>
      <c r="N114" s="31">
        <v>0</v>
      </c>
      <c r="O114" s="31">
        <v>0</v>
      </c>
      <c r="P114" s="32">
        <v>1749284.06</v>
      </c>
    </row>
    <row r="116" spans="2:19" s="3" customFormat="1" x14ac:dyDescent="0.2">
      <c r="F116" s="6" t="s">
        <v>70</v>
      </c>
      <c r="G116" s="4">
        <f>G113</f>
        <v>0</v>
      </c>
      <c r="H116" s="4">
        <f t="shared" ref="H116:P116" si="10">H113</f>
        <v>0</v>
      </c>
      <c r="I116" s="4">
        <f t="shared" si="10"/>
        <v>0</v>
      </c>
      <c r="J116" s="4">
        <f t="shared" si="10"/>
        <v>0</v>
      </c>
      <c r="K116" s="4">
        <f t="shared" si="10"/>
        <v>1389079</v>
      </c>
      <c r="L116" s="4">
        <f t="shared" si="10"/>
        <v>0</v>
      </c>
      <c r="M116" s="4">
        <f t="shared" si="10"/>
        <v>0</v>
      </c>
      <c r="N116" s="4">
        <f t="shared" si="10"/>
        <v>0</v>
      </c>
      <c r="O116" s="4">
        <f t="shared" si="10"/>
        <v>0</v>
      </c>
      <c r="P116" s="4">
        <f t="shared" si="10"/>
        <v>1389079</v>
      </c>
    </row>
    <row r="117" spans="2:19" s="64" customFormat="1" ht="12" x14ac:dyDescent="0.2">
      <c r="F117" s="25" t="s">
        <v>133</v>
      </c>
      <c r="G117" s="65">
        <f>G114</f>
        <v>5910.23</v>
      </c>
      <c r="H117" s="65">
        <f t="shared" ref="H117:P117" si="11">H114</f>
        <v>5882.62</v>
      </c>
      <c r="I117" s="65">
        <f t="shared" si="11"/>
        <v>0</v>
      </c>
      <c r="J117" s="65">
        <f t="shared" si="11"/>
        <v>1116.21</v>
      </c>
      <c r="K117" s="65">
        <f t="shared" si="11"/>
        <v>1736375</v>
      </c>
      <c r="L117" s="65">
        <f t="shared" si="11"/>
        <v>0</v>
      </c>
      <c r="M117" s="65">
        <f t="shared" si="11"/>
        <v>0</v>
      </c>
      <c r="N117" s="65">
        <f t="shared" si="11"/>
        <v>0</v>
      </c>
      <c r="O117" s="65">
        <f t="shared" si="11"/>
        <v>0</v>
      </c>
      <c r="P117" s="65">
        <f t="shared" si="11"/>
        <v>1749284.06</v>
      </c>
      <c r="R117" s="82" t="s">
        <v>145</v>
      </c>
      <c r="S117" s="83">
        <f>(N54+N96+N108+N117)/(P54+P96+P108+P117)</f>
        <v>0.68142287589890671</v>
      </c>
    </row>
    <row r="118" spans="2:19" x14ac:dyDescent="0.2">
      <c r="R118" s="82" t="s">
        <v>146</v>
      </c>
      <c r="S118" s="83">
        <f>(N54+N96+N108)/(P54+P96+P108)</f>
        <v>0.78596764701145516</v>
      </c>
    </row>
    <row r="120" spans="2:19" x14ac:dyDescent="0.2">
      <c r="B120" t="s">
        <v>71</v>
      </c>
    </row>
    <row r="121" spans="2:19" x14ac:dyDescent="0.2">
      <c r="F121" s="18" t="s">
        <v>131</v>
      </c>
    </row>
    <row r="122" spans="2:19" x14ac:dyDescent="0.2">
      <c r="B122" t="s">
        <v>72</v>
      </c>
      <c r="D122" t="s">
        <v>73</v>
      </c>
      <c r="G122" s="27">
        <f>G125+G128+G131+G134</f>
        <v>111785.77055</v>
      </c>
      <c r="H122" s="28">
        <f t="shared" ref="H122:P122" si="12">H125+H128+H131+H134</f>
        <v>76908.610138399978</v>
      </c>
      <c r="I122" s="28">
        <f t="shared" si="12"/>
        <v>2530</v>
      </c>
      <c r="J122" s="28">
        <f t="shared" si="12"/>
        <v>9112</v>
      </c>
      <c r="K122" s="28">
        <f t="shared" si="12"/>
        <v>10090</v>
      </c>
      <c r="L122" s="28">
        <f t="shared" si="12"/>
        <v>5978</v>
      </c>
      <c r="M122" s="28">
        <f t="shared" si="12"/>
        <v>202</v>
      </c>
      <c r="N122" s="28">
        <f t="shared" si="12"/>
        <v>0</v>
      </c>
      <c r="O122" s="28">
        <f t="shared" si="12"/>
        <v>0</v>
      </c>
      <c r="P122" s="29">
        <f t="shared" si="12"/>
        <v>216606.38068839995</v>
      </c>
    </row>
    <row r="123" spans="2:19" s="21" customFormat="1" ht="12" x14ac:dyDescent="0.2">
      <c r="F123" s="25"/>
      <c r="G123" s="38">
        <f>G126+G129+G132+G135</f>
        <v>103017.29</v>
      </c>
      <c r="H123" s="37">
        <f t="shared" ref="H123:P123" si="13">H126+H129+H132+H135</f>
        <v>97312.5</v>
      </c>
      <c r="I123" s="37">
        <f t="shared" si="13"/>
        <v>1278.8699999999999</v>
      </c>
      <c r="J123" s="37">
        <f t="shared" si="13"/>
        <v>432.93</v>
      </c>
      <c r="K123" s="37">
        <f t="shared" si="13"/>
        <v>17505.560000000001</v>
      </c>
      <c r="L123" s="37">
        <f t="shared" si="13"/>
        <v>3223.44</v>
      </c>
      <c r="M123" s="37">
        <f t="shared" si="13"/>
        <v>48.75</v>
      </c>
      <c r="N123" s="37">
        <f t="shared" si="13"/>
        <v>0</v>
      </c>
      <c r="O123" s="37">
        <f t="shared" si="13"/>
        <v>0</v>
      </c>
      <c r="P123" s="39">
        <f t="shared" si="13"/>
        <v>222819.34</v>
      </c>
    </row>
    <row r="124" spans="2:19" x14ac:dyDescent="0.2">
      <c r="G124" s="40"/>
      <c r="H124" s="41"/>
      <c r="I124" s="41"/>
      <c r="J124" s="41"/>
      <c r="K124" s="41"/>
      <c r="L124" s="41"/>
      <c r="M124" s="41"/>
      <c r="N124" s="41"/>
      <c r="O124" s="41"/>
      <c r="P124" s="42"/>
    </row>
    <row r="125" spans="2:19" s="2" customFormat="1" x14ac:dyDescent="0.2">
      <c r="E125" s="2" t="s">
        <v>74</v>
      </c>
      <c r="F125" s="7"/>
      <c r="G125" s="43">
        <v>46269.52</v>
      </c>
      <c r="H125" s="44">
        <v>31833.429759999995</v>
      </c>
      <c r="I125" s="44">
        <v>0</v>
      </c>
      <c r="J125" s="44">
        <v>7832</v>
      </c>
      <c r="K125" s="44">
        <v>200</v>
      </c>
      <c r="L125" s="44">
        <v>453</v>
      </c>
      <c r="M125" s="44">
        <v>202</v>
      </c>
      <c r="N125" s="44">
        <v>0</v>
      </c>
      <c r="O125" s="44">
        <v>0</v>
      </c>
      <c r="P125" s="45">
        <v>86789.949759999989</v>
      </c>
    </row>
    <row r="126" spans="2:19" s="23" customFormat="1" ht="12" x14ac:dyDescent="0.2">
      <c r="F126" s="63"/>
      <c r="G126" s="46">
        <v>53387.78</v>
      </c>
      <c r="H126" s="47">
        <v>50363.53</v>
      </c>
      <c r="I126" s="47">
        <v>0</v>
      </c>
      <c r="J126" s="47">
        <v>303.61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8">
        <v>104054.92</v>
      </c>
    </row>
    <row r="127" spans="2:19" s="2" customFormat="1" x14ac:dyDescent="0.2">
      <c r="F127" s="7"/>
      <c r="G127" s="43"/>
      <c r="H127" s="44"/>
      <c r="I127" s="44"/>
      <c r="J127" s="44"/>
      <c r="K127" s="44"/>
      <c r="L127" s="44"/>
      <c r="M127" s="44"/>
      <c r="N127" s="44"/>
      <c r="O127" s="44"/>
      <c r="P127" s="45"/>
    </row>
    <row r="128" spans="2:19" s="2" customFormat="1" x14ac:dyDescent="0.2">
      <c r="E128" s="2" t="s">
        <v>75</v>
      </c>
      <c r="F128" s="7"/>
      <c r="G128" s="43">
        <v>60272.306499999992</v>
      </c>
      <c r="H128" s="44">
        <v>41467.346871999987</v>
      </c>
      <c r="I128" s="44">
        <v>530</v>
      </c>
      <c r="J128" s="44">
        <v>1280</v>
      </c>
      <c r="K128" s="44">
        <v>8525</v>
      </c>
      <c r="L128" s="44">
        <v>715</v>
      </c>
      <c r="M128" s="44">
        <v>0</v>
      </c>
      <c r="N128" s="44">
        <v>0</v>
      </c>
      <c r="O128" s="44">
        <v>0</v>
      </c>
      <c r="P128" s="45">
        <v>112789.65337199997</v>
      </c>
    </row>
    <row r="129" spans="2:16" s="23" customFormat="1" ht="12" x14ac:dyDescent="0.2">
      <c r="F129" s="63"/>
      <c r="G129" s="46">
        <v>47227.11</v>
      </c>
      <c r="H129" s="47">
        <v>44663.97</v>
      </c>
      <c r="I129" s="47">
        <v>279.5</v>
      </c>
      <c r="J129" s="47">
        <v>129.32</v>
      </c>
      <c r="K129" s="47">
        <v>17505.560000000001</v>
      </c>
      <c r="L129" s="47">
        <v>201.96</v>
      </c>
      <c r="M129" s="47">
        <v>48.75</v>
      </c>
      <c r="N129" s="47">
        <v>0</v>
      </c>
      <c r="O129" s="47">
        <v>0</v>
      </c>
      <c r="P129" s="48">
        <v>110056.17</v>
      </c>
    </row>
    <row r="130" spans="2:16" s="2" customFormat="1" x14ac:dyDescent="0.2">
      <c r="F130" s="7"/>
      <c r="G130" s="43"/>
      <c r="H130" s="44"/>
      <c r="I130" s="44"/>
      <c r="J130" s="44"/>
      <c r="K130" s="44"/>
      <c r="L130" s="44"/>
      <c r="M130" s="44"/>
      <c r="N130" s="44"/>
      <c r="O130" s="44"/>
      <c r="P130" s="45"/>
    </row>
    <row r="131" spans="2:16" s="2" customFormat="1" x14ac:dyDescent="0.2">
      <c r="E131" s="2" t="s">
        <v>76</v>
      </c>
      <c r="F131" s="7"/>
      <c r="G131" s="43">
        <f>2273.94405+2970</f>
        <v>5243.9440500000001</v>
      </c>
      <c r="H131" s="44">
        <v>3607.8335063999994</v>
      </c>
      <c r="I131" s="44">
        <v>2000</v>
      </c>
      <c r="J131" s="44">
        <v>0</v>
      </c>
      <c r="K131" s="44">
        <v>390</v>
      </c>
      <c r="L131" s="44">
        <v>4810</v>
      </c>
      <c r="M131" s="44">
        <v>0</v>
      </c>
      <c r="N131" s="44">
        <v>0</v>
      </c>
      <c r="O131" s="44">
        <v>0</v>
      </c>
      <c r="P131" s="45">
        <v>16051.7775564</v>
      </c>
    </row>
    <row r="132" spans="2:16" s="23" customFormat="1" ht="12" x14ac:dyDescent="0.2">
      <c r="F132" s="63"/>
      <c r="G132" s="46">
        <v>2402.4</v>
      </c>
      <c r="H132" s="47">
        <v>2285</v>
      </c>
      <c r="I132" s="47">
        <v>999.37</v>
      </c>
      <c r="J132" s="47">
        <v>0</v>
      </c>
      <c r="K132" s="47">
        <v>0</v>
      </c>
      <c r="L132" s="47">
        <v>3021.48</v>
      </c>
      <c r="M132" s="47">
        <v>0</v>
      </c>
      <c r="N132" s="47">
        <v>0</v>
      </c>
      <c r="O132" s="47">
        <v>0</v>
      </c>
      <c r="P132" s="48">
        <v>8708.25</v>
      </c>
    </row>
    <row r="133" spans="2:16" s="2" customFormat="1" x14ac:dyDescent="0.2">
      <c r="F133" s="7"/>
      <c r="G133" s="43"/>
      <c r="H133" s="44"/>
      <c r="I133" s="44"/>
      <c r="J133" s="44"/>
      <c r="K133" s="44"/>
      <c r="L133" s="44"/>
      <c r="M133" s="44"/>
      <c r="N133" s="44"/>
      <c r="O133" s="44"/>
      <c r="P133" s="45"/>
    </row>
    <row r="134" spans="2:16" s="2" customFormat="1" x14ac:dyDescent="0.2">
      <c r="B134" s="2" t="s">
        <v>135</v>
      </c>
      <c r="E134" s="2" t="s">
        <v>78</v>
      </c>
      <c r="F134" s="7"/>
      <c r="G134" s="43">
        <v>0</v>
      </c>
      <c r="H134" s="44">
        <v>0</v>
      </c>
      <c r="I134" s="44">
        <v>0</v>
      </c>
      <c r="J134" s="44">
        <v>0</v>
      </c>
      <c r="K134" s="44">
        <v>975</v>
      </c>
      <c r="L134" s="44">
        <v>0</v>
      </c>
      <c r="M134" s="44">
        <v>0</v>
      </c>
      <c r="N134" s="44">
        <v>0</v>
      </c>
      <c r="O134" s="44">
        <v>0</v>
      </c>
      <c r="P134" s="45">
        <v>975</v>
      </c>
    </row>
    <row r="135" spans="2:16" s="23" customFormat="1" ht="12" x14ac:dyDescent="0.2">
      <c r="F135" s="63"/>
      <c r="G135" s="49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1">
        <v>0</v>
      </c>
    </row>
    <row r="137" spans="2:16" x14ac:dyDescent="0.2">
      <c r="B137" t="s">
        <v>72</v>
      </c>
      <c r="D137" t="s">
        <v>79</v>
      </c>
      <c r="G137" s="27">
        <f>G140+G149+G152</f>
        <v>57549.87</v>
      </c>
      <c r="H137" s="28">
        <f t="shared" ref="H137:P137" si="14">H140+H149+H152</f>
        <v>41707.145759999999</v>
      </c>
      <c r="I137" s="28">
        <f t="shared" si="14"/>
        <v>0</v>
      </c>
      <c r="J137" s="28">
        <f t="shared" si="14"/>
        <v>2000</v>
      </c>
      <c r="K137" s="28">
        <f t="shared" si="14"/>
        <v>92690</v>
      </c>
      <c r="L137" s="28">
        <f t="shared" si="14"/>
        <v>0</v>
      </c>
      <c r="M137" s="28">
        <f t="shared" si="14"/>
        <v>0</v>
      </c>
      <c r="N137" s="28">
        <f t="shared" si="14"/>
        <v>0</v>
      </c>
      <c r="O137" s="28">
        <f t="shared" si="14"/>
        <v>0</v>
      </c>
      <c r="P137" s="29">
        <f t="shared" si="14"/>
        <v>193947.01576000001</v>
      </c>
    </row>
    <row r="138" spans="2:16" s="21" customFormat="1" ht="12" x14ac:dyDescent="0.2">
      <c r="F138" s="25"/>
      <c r="G138" s="38">
        <f>G141+G144+G147+G150+G153</f>
        <v>44248.71</v>
      </c>
      <c r="H138" s="37">
        <f>H141+H144+H147+H150+H153</f>
        <v>41945.440000000002</v>
      </c>
      <c r="I138" s="37">
        <f t="shared" ref="I138:O138" si="15">I141+I144+I147+I150+I153</f>
        <v>0</v>
      </c>
      <c r="J138" s="37">
        <f t="shared" si="15"/>
        <v>168.42</v>
      </c>
      <c r="K138" s="37">
        <f>K141+K144+K147+K150+K153</f>
        <v>38465.78</v>
      </c>
      <c r="L138" s="37">
        <f t="shared" si="15"/>
        <v>0</v>
      </c>
      <c r="M138" s="37">
        <f t="shared" si="15"/>
        <v>0</v>
      </c>
      <c r="N138" s="37">
        <f t="shared" si="15"/>
        <v>-29612</v>
      </c>
      <c r="O138" s="37">
        <f t="shared" si="15"/>
        <v>0</v>
      </c>
      <c r="P138" s="37">
        <f>P141+P144+P147+P150+P153</f>
        <v>95216.349999999991</v>
      </c>
    </row>
    <row r="139" spans="2:16" x14ac:dyDescent="0.2">
      <c r="G139" s="40"/>
      <c r="H139" s="41"/>
      <c r="I139" s="41"/>
      <c r="J139" s="41"/>
      <c r="K139" s="41"/>
      <c r="L139" s="41"/>
      <c r="M139" s="41"/>
      <c r="N139" s="41"/>
      <c r="O139" s="41"/>
      <c r="P139" s="42"/>
    </row>
    <row r="140" spans="2:16" s="2" customFormat="1" x14ac:dyDescent="0.2">
      <c r="E140" s="2" t="s">
        <v>80</v>
      </c>
      <c r="F140" s="7"/>
      <c r="G140" s="43">
        <v>0</v>
      </c>
      <c r="H140" s="44">
        <v>0</v>
      </c>
      <c r="I140" s="44">
        <v>0</v>
      </c>
      <c r="J140" s="44">
        <v>0</v>
      </c>
      <c r="K140" s="44">
        <v>88010</v>
      </c>
      <c r="L140" s="44">
        <v>0</v>
      </c>
      <c r="M140" s="44">
        <v>0</v>
      </c>
      <c r="N140" s="44">
        <v>0</v>
      </c>
      <c r="O140" s="44"/>
      <c r="P140" s="45">
        <v>88010</v>
      </c>
    </row>
    <row r="141" spans="2:16" s="23" customFormat="1" ht="12" x14ac:dyDescent="0.2">
      <c r="F141" s="63"/>
      <c r="G141" s="46">
        <v>13112.8</v>
      </c>
      <c r="H141" s="47">
        <v>12464.98</v>
      </c>
      <c r="I141" s="47">
        <v>0</v>
      </c>
      <c r="J141" s="47">
        <v>0</v>
      </c>
      <c r="K141" s="47">
        <v>32681.93</v>
      </c>
      <c r="L141" s="47">
        <v>0</v>
      </c>
      <c r="M141" s="47">
        <v>0</v>
      </c>
      <c r="N141" s="47">
        <v>0</v>
      </c>
      <c r="O141" s="47">
        <v>0</v>
      </c>
      <c r="P141" s="48">
        <f>SUM(G141:O141)</f>
        <v>58259.71</v>
      </c>
    </row>
    <row r="142" spans="2:16" s="2" customFormat="1" x14ac:dyDescent="0.2">
      <c r="G142" s="43"/>
      <c r="H142" s="44"/>
      <c r="I142" s="44"/>
      <c r="J142" s="44"/>
      <c r="K142" s="44"/>
      <c r="L142" s="44"/>
      <c r="M142" s="44"/>
      <c r="N142" s="86"/>
      <c r="O142" s="44"/>
      <c r="P142" s="45"/>
    </row>
    <row r="143" spans="2:16" s="2" customFormat="1" x14ac:dyDescent="0.2">
      <c r="E143" s="2" t="s">
        <v>151</v>
      </c>
      <c r="F143" s="7"/>
      <c r="G143" s="43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/>
      <c r="P143" s="45">
        <v>0</v>
      </c>
    </row>
    <row r="144" spans="2:16" s="23" customFormat="1" ht="12" x14ac:dyDescent="0.2">
      <c r="F144" s="63"/>
      <c r="G144" s="46">
        <v>0</v>
      </c>
      <c r="H144" s="47">
        <v>0</v>
      </c>
      <c r="I144" s="47">
        <v>0</v>
      </c>
      <c r="J144" s="47">
        <v>0</v>
      </c>
      <c r="K144" s="47">
        <v>4341.1499999999996</v>
      </c>
      <c r="L144" s="47">
        <v>0</v>
      </c>
      <c r="M144" s="47">
        <v>0</v>
      </c>
      <c r="N144" s="47">
        <v>0</v>
      </c>
      <c r="O144" s="47">
        <v>0</v>
      </c>
      <c r="P144" s="48">
        <f>SUM(G144:O144)</f>
        <v>4341.1499999999996</v>
      </c>
    </row>
    <row r="145" spans="4:16" s="87" customFormat="1" x14ac:dyDescent="0.2">
      <c r="G145" s="88"/>
      <c r="H145" s="89"/>
      <c r="I145" s="89"/>
      <c r="J145" s="89"/>
      <c r="K145" s="89"/>
      <c r="L145" s="89"/>
      <c r="M145" s="89"/>
      <c r="N145" s="91"/>
      <c r="O145" s="89"/>
      <c r="P145" s="90"/>
    </row>
    <row r="146" spans="4:16" s="2" customFormat="1" x14ac:dyDescent="0.2">
      <c r="E146" s="2" t="s">
        <v>150</v>
      </c>
      <c r="F146" s="7"/>
      <c r="G146" s="43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/>
      <c r="P146" s="45">
        <v>0</v>
      </c>
    </row>
    <row r="147" spans="4:16" s="23" customFormat="1" ht="12" x14ac:dyDescent="0.2">
      <c r="F147" s="63"/>
      <c r="G147" s="46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-29612</v>
      </c>
      <c r="O147" s="47">
        <v>0</v>
      </c>
      <c r="P147" s="48">
        <f>SUM(G147:O147)</f>
        <v>-29612</v>
      </c>
    </row>
    <row r="148" spans="4:16" s="2" customFormat="1" x14ac:dyDescent="0.2">
      <c r="F148" s="7"/>
      <c r="G148" s="43"/>
      <c r="H148" s="44"/>
      <c r="I148" s="44"/>
      <c r="J148" s="44"/>
      <c r="K148" s="44"/>
      <c r="L148" s="44"/>
      <c r="M148" s="44"/>
      <c r="N148" s="86"/>
      <c r="O148" s="44"/>
      <c r="P148" s="45"/>
    </row>
    <row r="149" spans="4:16" s="2" customFormat="1" x14ac:dyDescent="0.2">
      <c r="E149" s="2" t="s">
        <v>81</v>
      </c>
      <c r="F149" s="7"/>
      <c r="G149" s="43">
        <v>47488.75</v>
      </c>
      <c r="H149" s="44">
        <v>32672.26</v>
      </c>
      <c r="I149" s="44">
        <v>0</v>
      </c>
      <c r="J149" s="44">
        <v>1300</v>
      </c>
      <c r="K149" s="44">
        <v>2080</v>
      </c>
      <c r="L149" s="44">
        <v>0</v>
      </c>
      <c r="M149" s="44">
        <v>0</v>
      </c>
      <c r="N149" s="44">
        <v>0</v>
      </c>
      <c r="O149" s="44"/>
      <c r="P149" s="45">
        <v>83541.009999999995</v>
      </c>
    </row>
    <row r="150" spans="4:16" s="23" customFormat="1" ht="12" x14ac:dyDescent="0.2">
      <c r="F150" s="63"/>
      <c r="G150" s="46">
        <v>17122.91</v>
      </c>
      <c r="H150" s="47">
        <v>16210.23</v>
      </c>
      <c r="I150" s="47">
        <v>0</v>
      </c>
      <c r="J150" s="47">
        <v>168.42</v>
      </c>
      <c r="K150" s="47">
        <v>1442.7</v>
      </c>
      <c r="L150" s="47">
        <v>0</v>
      </c>
      <c r="M150" s="47">
        <v>0</v>
      </c>
      <c r="N150" s="47">
        <v>0</v>
      </c>
      <c r="O150" s="47">
        <v>0</v>
      </c>
      <c r="P150" s="48">
        <v>34944.259999999995</v>
      </c>
    </row>
    <row r="151" spans="4:16" s="2" customFormat="1" x14ac:dyDescent="0.2">
      <c r="F151" s="7"/>
      <c r="G151" s="43"/>
      <c r="H151" s="44"/>
      <c r="I151" s="44"/>
      <c r="J151" s="44"/>
      <c r="K151" s="44"/>
      <c r="L151" s="44"/>
      <c r="M151" s="44"/>
      <c r="N151" s="44"/>
      <c r="O151" s="44"/>
      <c r="P151" s="45"/>
    </row>
    <row r="152" spans="4:16" s="2" customFormat="1" x14ac:dyDescent="0.2">
      <c r="E152" s="2" t="s">
        <v>82</v>
      </c>
      <c r="F152" s="7"/>
      <c r="G152" s="43">
        <f>9561.12+500</f>
        <v>10061.120000000001</v>
      </c>
      <c r="H152" s="44">
        <v>9034.8857599999992</v>
      </c>
      <c r="I152" s="44">
        <v>0</v>
      </c>
      <c r="J152" s="44">
        <v>700</v>
      </c>
      <c r="K152" s="44">
        <v>2600</v>
      </c>
      <c r="L152" s="44">
        <v>0</v>
      </c>
      <c r="M152" s="44">
        <v>0</v>
      </c>
      <c r="N152" s="44">
        <v>0</v>
      </c>
      <c r="O152" s="44">
        <v>0</v>
      </c>
      <c r="P152" s="45">
        <v>22396.00576</v>
      </c>
    </row>
    <row r="153" spans="4:16" s="23" customFormat="1" ht="12" x14ac:dyDescent="0.2">
      <c r="F153" s="63"/>
      <c r="G153" s="49">
        <v>14013</v>
      </c>
      <c r="H153" s="50">
        <v>13270.23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1">
        <v>27283.23</v>
      </c>
    </row>
    <row r="155" spans="4:16" x14ac:dyDescent="0.2">
      <c r="D155" t="s">
        <v>83</v>
      </c>
      <c r="G155" s="27">
        <v>41094</v>
      </c>
      <c r="H155" s="28">
        <v>36902.411999999997</v>
      </c>
      <c r="I155" s="28">
        <v>0</v>
      </c>
      <c r="J155" s="28">
        <v>3300</v>
      </c>
      <c r="K155" s="28">
        <v>0</v>
      </c>
      <c r="L155" s="28">
        <v>750</v>
      </c>
      <c r="M155" s="28">
        <v>0</v>
      </c>
      <c r="N155" s="28">
        <v>0</v>
      </c>
      <c r="O155" s="28"/>
      <c r="P155" s="29">
        <v>82046.411999999997</v>
      </c>
    </row>
    <row r="156" spans="4:16" s="21" customFormat="1" ht="12" x14ac:dyDescent="0.2">
      <c r="F156" s="25"/>
      <c r="G156" s="30">
        <v>30864.98</v>
      </c>
      <c r="H156" s="31">
        <v>28879.31</v>
      </c>
      <c r="I156" s="31">
        <v>0</v>
      </c>
      <c r="J156" s="31">
        <v>0</v>
      </c>
      <c r="K156" s="31">
        <v>4089.62</v>
      </c>
      <c r="L156" s="31">
        <v>0</v>
      </c>
      <c r="M156" s="31">
        <v>0</v>
      </c>
      <c r="N156" s="31">
        <v>0</v>
      </c>
      <c r="O156" s="31">
        <v>0</v>
      </c>
      <c r="P156" s="32">
        <v>63833.91</v>
      </c>
    </row>
    <row r="158" spans="4:16" x14ac:dyDescent="0.2">
      <c r="D158" t="s">
        <v>84</v>
      </c>
      <c r="G158" s="27">
        <v>53412</v>
      </c>
      <c r="H158" s="28">
        <v>47963.975999999995</v>
      </c>
      <c r="I158" s="28">
        <v>0</v>
      </c>
      <c r="J158" s="28">
        <v>3340</v>
      </c>
      <c r="K158" s="28">
        <v>0</v>
      </c>
      <c r="L158" s="28">
        <v>0</v>
      </c>
      <c r="M158" s="28">
        <v>0</v>
      </c>
      <c r="N158" s="28">
        <v>0</v>
      </c>
      <c r="O158" s="28"/>
      <c r="P158" s="29">
        <v>104715.976</v>
      </c>
    </row>
    <row r="159" spans="4:16" s="21" customFormat="1" ht="12" x14ac:dyDescent="0.2">
      <c r="F159" s="25"/>
      <c r="G159" s="30">
        <v>23935.31</v>
      </c>
      <c r="H159" s="31">
        <v>22212.15</v>
      </c>
      <c r="I159" s="31">
        <v>0</v>
      </c>
      <c r="J159" s="31">
        <v>1875.11</v>
      </c>
      <c r="K159" s="31">
        <v>520</v>
      </c>
      <c r="L159" s="31">
        <v>244.05</v>
      </c>
      <c r="M159" s="31">
        <v>0</v>
      </c>
      <c r="N159" s="31">
        <v>0</v>
      </c>
      <c r="O159" s="31">
        <v>0</v>
      </c>
      <c r="P159" s="32">
        <v>48786.62</v>
      </c>
    </row>
    <row r="161" spans="4:16" x14ac:dyDescent="0.2">
      <c r="D161" t="s">
        <v>85</v>
      </c>
      <c r="G161" s="27">
        <v>76525.67</v>
      </c>
      <c r="H161" s="28">
        <v>68720.051659999997</v>
      </c>
      <c r="I161" s="28">
        <v>0</v>
      </c>
      <c r="J161" s="28">
        <v>2000</v>
      </c>
      <c r="K161" s="28">
        <v>16900</v>
      </c>
      <c r="L161" s="28">
        <v>0</v>
      </c>
      <c r="M161" s="28">
        <v>0</v>
      </c>
      <c r="N161" s="28">
        <v>0</v>
      </c>
      <c r="O161" s="28"/>
      <c r="P161" s="29">
        <v>164145.72165999998</v>
      </c>
    </row>
    <row r="162" spans="4:16" s="21" customFormat="1" ht="12" x14ac:dyDescent="0.2">
      <c r="F162" s="25"/>
      <c r="G162" s="30">
        <v>59173.72</v>
      </c>
      <c r="H162" s="31">
        <v>56128.32</v>
      </c>
      <c r="I162" s="31">
        <v>0</v>
      </c>
      <c r="J162" s="31">
        <v>1154.58</v>
      </c>
      <c r="K162" s="31">
        <v>152336.26</v>
      </c>
      <c r="L162" s="31">
        <v>47.45</v>
      </c>
      <c r="M162" s="31">
        <v>0</v>
      </c>
      <c r="N162" s="31">
        <v>0</v>
      </c>
      <c r="O162" s="31">
        <v>0</v>
      </c>
      <c r="P162" s="32">
        <v>268840.33</v>
      </c>
    </row>
    <row r="164" spans="4:16" x14ac:dyDescent="0.2">
      <c r="D164" t="s">
        <v>86</v>
      </c>
      <c r="G164" s="27">
        <f>61981+1690</f>
        <v>63671</v>
      </c>
      <c r="H164" s="28">
        <v>43805.648000000001</v>
      </c>
      <c r="I164" s="28">
        <v>13195</v>
      </c>
      <c r="J164" s="28">
        <v>10855</v>
      </c>
      <c r="K164" s="28">
        <v>4225</v>
      </c>
      <c r="L164" s="28">
        <v>7865</v>
      </c>
      <c r="M164" s="28">
        <v>0</v>
      </c>
      <c r="N164" s="28">
        <v>0</v>
      </c>
      <c r="O164" s="28"/>
      <c r="P164" s="29">
        <v>143616.64799999999</v>
      </c>
    </row>
    <row r="165" spans="4:16" s="21" customFormat="1" ht="12" x14ac:dyDescent="0.2">
      <c r="F165" s="25"/>
      <c r="G165" s="30">
        <v>62633.51</v>
      </c>
      <c r="H165" s="31">
        <v>59583.5</v>
      </c>
      <c r="I165" s="31">
        <v>2887.78</v>
      </c>
      <c r="J165" s="31">
        <v>307.89999999999998</v>
      </c>
      <c r="K165" s="31">
        <v>4228.63</v>
      </c>
      <c r="L165" s="31">
        <v>469.06</v>
      </c>
      <c r="M165" s="31">
        <v>0</v>
      </c>
      <c r="N165" s="31">
        <v>0</v>
      </c>
      <c r="O165" s="31">
        <v>0</v>
      </c>
      <c r="P165" s="32">
        <v>130110.38</v>
      </c>
    </row>
    <row r="167" spans="4:16" x14ac:dyDescent="0.2">
      <c r="D167" t="s">
        <v>87</v>
      </c>
      <c r="G167" s="27">
        <v>0</v>
      </c>
      <c r="H167" s="28">
        <v>0</v>
      </c>
      <c r="I167" s="28">
        <v>0</v>
      </c>
      <c r="J167" s="28">
        <v>0</v>
      </c>
      <c r="K167" s="28">
        <v>8450</v>
      </c>
      <c r="L167" s="28">
        <v>0</v>
      </c>
      <c r="M167" s="28">
        <v>12565</v>
      </c>
      <c r="N167" s="28">
        <v>0</v>
      </c>
      <c r="O167" s="28"/>
      <c r="P167" s="29">
        <v>21015</v>
      </c>
    </row>
    <row r="168" spans="4:16" s="21" customFormat="1" ht="12" x14ac:dyDescent="0.2">
      <c r="F168" s="25"/>
      <c r="G168" s="30">
        <v>0</v>
      </c>
      <c r="H168" s="31">
        <v>0</v>
      </c>
      <c r="I168" s="31">
        <v>0</v>
      </c>
      <c r="J168" s="31">
        <v>0</v>
      </c>
      <c r="K168" s="31">
        <v>8500.86</v>
      </c>
      <c r="L168" s="31">
        <v>0</v>
      </c>
      <c r="M168" s="31">
        <v>8820.75</v>
      </c>
      <c r="N168" s="31">
        <v>0</v>
      </c>
      <c r="O168" s="31">
        <v>0</v>
      </c>
      <c r="P168" s="32">
        <v>17321.61</v>
      </c>
    </row>
    <row r="170" spans="4:16" x14ac:dyDescent="0.2">
      <c r="D170" t="s">
        <v>88</v>
      </c>
      <c r="G170" s="27">
        <f>139381.02+4100</f>
        <v>143481.01999999999</v>
      </c>
      <c r="H170" s="28">
        <v>128845.95595999999</v>
      </c>
      <c r="I170" s="28">
        <v>25000</v>
      </c>
      <c r="J170" s="28">
        <v>5000</v>
      </c>
      <c r="K170" s="28">
        <v>20000</v>
      </c>
      <c r="L170" s="28">
        <v>1500</v>
      </c>
      <c r="M170" s="28">
        <v>0</v>
      </c>
      <c r="N170" s="28">
        <v>0</v>
      </c>
      <c r="O170" s="28">
        <v>-328321.74</v>
      </c>
      <c r="P170" s="29">
        <v>-4494.7640400000382</v>
      </c>
    </row>
    <row r="171" spans="4:16" s="21" customFormat="1" ht="12" x14ac:dyDescent="0.2">
      <c r="F171" s="25"/>
      <c r="G171" s="30">
        <v>62622.9</v>
      </c>
      <c r="H171" s="31">
        <v>59516.57</v>
      </c>
      <c r="I171" s="31">
        <v>16769.939999999999</v>
      </c>
      <c r="J171" s="31">
        <v>1173.45</v>
      </c>
      <c r="K171" s="31">
        <v>6237.67</v>
      </c>
      <c r="L171" s="31">
        <v>75.28</v>
      </c>
      <c r="M171" s="31">
        <v>25</v>
      </c>
      <c r="N171" s="31">
        <v>0</v>
      </c>
      <c r="O171" s="31">
        <v>-198035.73</v>
      </c>
      <c r="P171" s="32">
        <v>-51614.920000000013</v>
      </c>
    </row>
    <row r="173" spans="4:16" s="3" customFormat="1" x14ac:dyDescent="0.2">
      <c r="F173" s="6" t="s">
        <v>89</v>
      </c>
      <c r="G173" s="4">
        <f>G122+G137+G155+G158+G161+G164+G167+G170</f>
        <v>547519.33054999996</v>
      </c>
      <c r="H173" s="4">
        <f t="shared" ref="H173:P173" si="16">H122+H137+H155+H158+H161+H164+H167+H170</f>
        <v>444853.79951839999</v>
      </c>
      <c r="I173" s="4">
        <f t="shared" si="16"/>
        <v>40725</v>
      </c>
      <c r="J173" s="4">
        <f t="shared" si="16"/>
        <v>35607</v>
      </c>
      <c r="K173" s="4">
        <f t="shared" si="16"/>
        <v>152355</v>
      </c>
      <c r="L173" s="4">
        <f t="shared" si="16"/>
        <v>16093</v>
      </c>
      <c r="M173" s="4">
        <f t="shared" si="16"/>
        <v>12767</v>
      </c>
      <c r="N173" s="4">
        <f t="shared" si="16"/>
        <v>0</v>
      </c>
      <c r="O173" s="4">
        <f t="shared" si="16"/>
        <v>-328321.74</v>
      </c>
      <c r="P173" s="4">
        <f t="shared" si="16"/>
        <v>921598.39006839995</v>
      </c>
    </row>
    <row r="174" spans="4:16" s="64" customFormat="1" ht="12" x14ac:dyDescent="0.2">
      <c r="F174" s="25" t="s">
        <v>133</v>
      </c>
      <c r="G174" s="65">
        <f>G123+G138+G156+G159+G162+G165+G168+G171</f>
        <v>386496.42000000004</v>
      </c>
      <c r="H174" s="65">
        <f t="shared" ref="H174:O174" si="17">H123+H138+H156+H159+H162+H165+H168+H171</f>
        <v>365577.79</v>
      </c>
      <c r="I174" s="65">
        <f t="shared" si="17"/>
        <v>20936.589999999997</v>
      </c>
      <c r="J174" s="65">
        <f t="shared" si="17"/>
        <v>5112.3900000000003</v>
      </c>
      <c r="K174" s="65">
        <f t="shared" si="17"/>
        <v>231884.38000000003</v>
      </c>
      <c r="L174" s="65">
        <f t="shared" si="17"/>
        <v>4059.28</v>
      </c>
      <c r="M174" s="65">
        <f t="shared" si="17"/>
        <v>8894.5</v>
      </c>
      <c r="N174" s="65">
        <f t="shared" si="17"/>
        <v>-29612</v>
      </c>
      <c r="O174" s="65">
        <f t="shared" si="17"/>
        <v>-198035.73</v>
      </c>
      <c r="P174" s="65">
        <f>P123+P138+P156+P159+P162+P165+P168+P171</f>
        <v>795313.62</v>
      </c>
    </row>
    <row r="177" spans="2:16" x14ac:dyDescent="0.2">
      <c r="B177" t="s">
        <v>122</v>
      </c>
    </row>
    <row r="178" spans="2:16" x14ac:dyDescent="0.2">
      <c r="F178" s="18" t="s">
        <v>131</v>
      </c>
    </row>
    <row r="179" spans="2:16" x14ac:dyDescent="0.2">
      <c r="D179" t="s">
        <v>91</v>
      </c>
      <c r="G179" s="27">
        <v>15347.28</v>
      </c>
      <c r="H179" s="28">
        <v>10558.92864</v>
      </c>
      <c r="I179" s="28">
        <v>0</v>
      </c>
      <c r="J179" s="28">
        <v>156</v>
      </c>
      <c r="K179" s="28">
        <v>11518</v>
      </c>
      <c r="L179" s="28">
        <v>0</v>
      </c>
      <c r="M179" s="28">
        <v>0</v>
      </c>
      <c r="N179" s="28">
        <v>0</v>
      </c>
      <c r="O179" s="28"/>
      <c r="P179" s="29">
        <v>37580.208639999997</v>
      </c>
    </row>
    <row r="180" spans="2:16" s="21" customFormat="1" ht="12" x14ac:dyDescent="0.2">
      <c r="F180" s="25"/>
      <c r="G180" s="30">
        <v>9410.18</v>
      </c>
      <c r="H180" s="31">
        <v>8928.65</v>
      </c>
      <c r="I180" s="31">
        <v>0</v>
      </c>
      <c r="J180" s="31">
        <v>0</v>
      </c>
      <c r="K180" s="31">
        <v>30803.439999999999</v>
      </c>
      <c r="L180" s="31">
        <v>0</v>
      </c>
      <c r="M180" s="31">
        <v>0</v>
      </c>
      <c r="N180" s="31">
        <v>0</v>
      </c>
      <c r="O180" s="31">
        <v>0</v>
      </c>
      <c r="P180" s="32">
        <v>49142.27</v>
      </c>
    </row>
    <row r="182" spans="2:16" x14ac:dyDescent="0.2">
      <c r="D182" t="s">
        <v>92</v>
      </c>
      <c r="G182" s="27">
        <v>17370.599999999999</v>
      </c>
      <c r="H182" s="28">
        <v>11950.972799999998</v>
      </c>
      <c r="I182" s="28">
        <v>0</v>
      </c>
      <c r="J182" s="28">
        <v>156</v>
      </c>
      <c r="K182" s="28">
        <v>20800</v>
      </c>
      <c r="L182" s="28">
        <v>0</v>
      </c>
      <c r="M182" s="28">
        <v>0</v>
      </c>
      <c r="N182" s="28">
        <v>0</v>
      </c>
      <c r="O182" s="28"/>
      <c r="P182" s="29">
        <v>50277.572799999994</v>
      </c>
    </row>
    <row r="183" spans="2:16" s="21" customFormat="1" ht="12" x14ac:dyDescent="0.2">
      <c r="F183" s="25"/>
      <c r="G183" s="30">
        <v>31644.67</v>
      </c>
      <c r="H183" s="31">
        <v>30063.65</v>
      </c>
      <c r="I183" s="31">
        <v>0</v>
      </c>
      <c r="J183" s="31">
        <v>210.48</v>
      </c>
      <c r="K183" s="31">
        <v>26518.42</v>
      </c>
      <c r="L183" s="31">
        <v>0</v>
      </c>
      <c r="M183" s="31">
        <v>0</v>
      </c>
      <c r="N183" s="31">
        <v>0</v>
      </c>
      <c r="O183" s="31">
        <v>0</v>
      </c>
      <c r="P183" s="32">
        <v>88437.22</v>
      </c>
    </row>
    <row r="185" spans="2:16" x14ac:dyDescent="0.2">
      <c r="D185" t="s">
        <v>93</v>
      </c>
      <c r="G185" s="27">
        <v>22485.94</v>
      </c>
      <c r="H185" s="28">
        <v>15470.326719999997</v>
      </c>
      <c r="I185" s="28">
        <v>0</v>
      </c>
      <c r="J185" s="28">
        <v>635.70000000000005</v>
      </c>
      <c r="K185" s="28">
        <v>4864.1449999999995</v>
      </c>
      <c r="L185" s="28">
        <v>201.5</v>
      </c>
      <c r="M185" s="28">
        <v>0</v>
      </c>
      <c r="N185" s="28">
        <v>0</v>
      </c>
      <c r="O185" s="28"/>
      <c r="P185" s="29">
        <v>43657.611719999994</v>
      </c>
    </row>
    <row r="186" spans="2:16" s="21" customFormat="1" ht="12" x14ac:dyDescent="0.2">
      <c r="F186" s="25"/>
      <c r="G186" s="30">
        <v>18089.53</v>
      </c>
      <c r="H186" s="31">
        <v>17215.39</v>
      </c>
      <c r="I186" s="31">
        <v>0</v>
      </c>
      <c r="J186" s="31">
        <v>0</v>
      </c>
      <c r="K186" s="31">
        <v>1074.8499999999999</v>
      </c>
      <c r="L186" s="31">
        <v>0</v>
      </c>
      <c r="M186" s="31">
        <v>0</v>
      </c>
      <c r="N186" s="31">
        <v>0</v>
      </c>
      <c r="O186" s="31">
        <v>0</v>
      </c>
      <c r="P186" s="32">
        <v>36379.769999999997</v>
      </c>
    </row>
    <row r="188" spans="2:16" x14ac:dyDescent="0.2">
      <c r="D188" t="s">
        <v>94</v>
      </c>
      <c r="G188" s="27">
        <v>24036.63</v>
      </c>
      <c r="H188" s="28">
        <v>16537.201440000001</v>
      </c>
      <c r="I188" s="28">
        <v>0</v>
      </c>
      <c r="J188" s="28">
        <v>149.5</v>
      </c>
      <c r="K188" s="28">
        <v>321634</v>
      </c>
      <c r="L188" s="28">
        <v>0</v>
      </c>
      <c r="M188" s="28">
        <v>750</v>
      </c>
      <c r="N188" s="28">
        <v>0</v>
      </c>
      <c r="O188" s="28"/>
      <c r="P188" s="29">
        <v>363107.33143999998</v>
      </c>
    </row>
    <row r="189" spans="2:16" s="21" customFormat="1" ht="12" x14ac:dyDescent="0.2">
      <c r="F189" s="25"/>
      <c r="G189" s="30">
        <v>22077.62</v>
      </c>
      <c r="H189" s="31">
        <v>20816.32</v>
      </c>
      <c r="I189" s="31">
        <v>0</v>
      </c>
      <c r="J189" s="31">
        <v>298.43</v>
      </c>
      <c r="K189" s="31">
        <v>468777.37</v>
      </c>
      <c r="L189" s="31">
        <v>24.09</v>
      </c>
      <c r="M189" s="31">
        <v>0</v>
      </c>
      <c r="N189" s="31">
        <v>0</v>
      </c>
      <c r="O189" s="31">
        <v>0</v>
      </c>
      <c r="P189" s="32">
        <v>511993.83</v>
      </c>
    </row>
    <row r="191" spans="2:16" x14ac:dyDescent="0.2">
      <c r="D191" t="s">
        <v>96</v>
      </c>
      <c r="G191" s="27">
        <v>37382</v>
      </c>
      <c r="H191" s="28">
        <v>33569.036</v>
      </c>
      <c r="I191" s="28">
        <v>0</v>
      </c>
      <c r="J191" s="28">
        <v>1850</v>
      </c>
      <c r="K191" s="28">
        <v>11700</v>
      </c>
      <c r="L191" s="28">
        <v>900</v>
      </c>
      <c r="M191" s="28">
        <v>0</v>
      </c>
      <c r="N191" s="28">
        <v>0</v>
      </c>
      <c r="O191" s="28"/>
      <c r="P191" s="29">
        <v>85401.035999999993</v>
      </c>
    </row>
    <row r="192" spans="2:16" s="21" customFormat="1" ht="12" x14ac:dyDescent="0.2">
      <c r="F192" s="25"/>
      <c r="G192" s="30">
        <v>35896.449999999997</v>
      </c>
      <c r="H192" s="31">
        <v>34039.360000000001</v>
      </c>
      <c r="I192" s="31">
        <v>0</v>
      </c>
      <c r="J192" s="31">
        <v>85.38</v>
      </c>
      <c r="K192" s="31">
        <v>18227.2</v>
      </c>
      <c r="L192" s="31">
        <v>305.02999999999997</v>
      </c>
      <c r="M192" s="31">
        <v>0</v>
      </c>
      <c r="N192" s="31">
        <v>700</v>
      </c>
      <c r="O192" s="31">
        <v>0</v>
      </c>
      <c r="P192" s="32">
        <v>89253.42</v>
      </c>
    </row>
    <row r="194" spans="6:19" s="3" customFormat="1" x14ac:dyDescent="0.2">
      <c r="F194" s="6" t="s">
        <v>97</v>
      </c>
      <c r="G194" s="33">
        <f>G179+G182+G185+G188+G191</f>
        <v>116622.45</v>
      </c>
      <c r="H194" s="34">
        <f t="shared" ref="H194:P194" si="18">H179+H182+H185+H188+H191</f>
        <v>88086.465599999996</v>
      </c>
      <c r="I194" s="34">
        <f t="shared" si="18"/>
        <v>0</v>
      </c>
      <c r="J194" s="34">
        <f t="shared" si="18"/>
        <v>2947.2</v>
      </c>
      <c r="K194" s="34">
        <f t="shared" si="18"/>
        <v>370516.14500000002</v>
      </c>
      <c r="L194" s="34">
        <f t="shared" si="18"/>
        <v>1101.5</v>
      </c>
      <c r="M194" s="34">
        <f t="shared" si="18"/>
        <v>750</v>
      </c>
      <c r="N194" s="34">
        <f t="shared" si="18"/>
        <v>0</v>
      </c>
      <c r="O194" s="34">
        <f t="shared" si="18"/>
        <v>0</v>
      </c>
      <c r="P194" s="35">
        <f t="shared" si="18"/>
        <v>580023.76059999992</v>
      </c>
    </row>
    <row r="195" spans="6:19" s="21" customFormat="1" ht="12" x14ac:dyDescent="0.2">
      <c r="F195" s="25" t="s">
        <v>133</v>
      </c>
      <c r="G195" s="30">
        <f>G180+G183+G186+G189+G192</f>
        <v>117118.45</v>
      </c>
      <c r="H195" s="31">
        <f t="shared" ref="H195:P195" si="19">H180+H183+H186+H189+H192</f>
        <v>111063.37000000001</v>
      </c>
      <c r="I195" s="31">
        <f t="shared" si="19"/>
        <v>0</v>
      </c>
      <c r="J195" s="31">
        <f t="shared" si="19"/>
        <v>594.29</v>
      </c>
      <c r="K195" s="31">
        <f t="shared" si="19"/>
        <v>545401.27999999991</v>
      </c>
      <c r="L195" s="31">
        <f t="shared" si="19"/>
        <v>329.11999999999995</v>
      </c>
      <c r="M195" s="31">
        <f t="shared" si="19"/>
        <v>0</v>
      </c>
      <c r="N195" s="31">
        <f t="shared" si="19"/>
        <v>700</v>
      </c>
      <c r="O195" s="31">
        <f t="shared" si="19"/>
        <v>0</v>
      </c>
      <c r="P195" s="32">
        <f t="shared" si="19"/>
        <v>775206.51</v>
      </c>
    </row>
    <row r="198" spans="6:19" s="3" customFormat="1" x14ac:dyDescent="0.2">
      <c r="F198" s="6" t="s">
        <v>136</v>
      </c>
      <c r="G198" s="4">
        <f>G53+G95+G107+G116+G173+G194</f>
        <v>1523640.3905499999</v>
      </c>
      <c r="H198" s="4">
        <f t="shared" ref="H198:P198" si="20">H53+H95+H107+H116+H173+H194</f>
        <v>1304724.3147484001</v>
      </c>
      <c r="I198" s="4">
        <f t="shared" si="20"/>
        <v>501781.94</v>
      </c>
      <c r="J198" s="4">
        <f t="shared" si="20"/>
        <v>74679.199999999997</v>
      </c>
      <c r="K198" s="4">
        <f t="shared" si="20"/>
        <v>2966107.355</v>
      </c>
      <c r="L198" s="4">
        <f t="shared" si="20"/>
        <v>42884.5</v>
      </c>
      <c r="M198" s="4">
        <f t="shared" si="20"/>
        <v>115821.5</v>
      </c>
      <c r="N198" s="4">
        <f t="shared" si="20"/>
        <v>8486297.3399999999</v>
      </c>
      <c r="O198" s="4">
        <f t="shared" si="20"/>
        <v>-328321.74</v>
      </c>
      <c r="P198" s="4">
        <f t="shared" si="20"/>
        <v>14687613.725298401</v>
      </c>
    </row>
    <row r="199" spans="6:19" s="21" customFormat="1" ht="12" x14ac:dyDescent="0.2">
      <c r="F199" s="25" t="s">
        <v>132</v>
      </c>
      <c r="G199" s="20">
        <f>G54+G96+G108+G117+G174+G195</f>
        <v>1080883.46</v>
      </c>
      <c r="H199" s="20">
        <f t="shared" ref="H199:P199" si="21">H54+H96+H108+H117+H174+H195</f>
        <v>1025593.5299999999</v>
      </c>
      <c r="I199" s="20">
        <f t="shared" si="21"/>
        <v>333256.78000000003</v>
      </c>
      <c r="J199" s="20">
        <f t="shared" si="21"/>
        <v>18661.05</v>
      </c>
      <c r="K199" s="20">
        <f t="shared" si="21"/>
        <v>3459685.9099999997</v>
      </c>
      <c r="L199" s="20">
        <f t="shared" si="21"/>
        <v>12791.650000000001</v>
      </c>
      <c r="M199" s="20">
        <f t="shared" si="21"/>
        <v>56241</v>
      </c>
      <c r="N199" s="20">
        <f t="shared" si="21"/>
        <v>8932561.0100000016</v>
      </c>
      <c r="O199" s="20">
        <f t="shared" si="21"/>
        <v>-198035.73</v>
      </c>
      <c r="P199" s="20">
        <f t="shared" si="21"/>
        <v>14721638.659999998</v>
      </c>
      <c r="R199" s="25" t="s">
        <v>148</v>
      </c>
      <c r="S199" s="81">
        <f>N199/P199</f>
        <v>0.60676404415974183</v>
      </c>
    </row>
    <row r="200" spans="6:19" x14ac:dyDescent="0.2">
      <c r="R200" s="25" t="s">
        <v>149</v>
      </c>
      <c r="S200" s="81">
        <f>(N199-N117)/(P199-P117)</f>
        <v>0.68858440009032773</v>
      </c>
    </row>
    <row r="201" spans="6:19" x14ac:dyDescent="0.2">
      <c r="G201" s="1" t="s">
        <v>143</v>
      </c>
    </row>
    <row r="202" spans="6:19" x14ac:dyDescent="0.2">
      <c r="G202" s="1" t="s">
        <v>140</v>
      </c>
    </row>
    <row r="203" spans="6:19" x14ac:dyDescent="0.2">
      <c r="G203" s="1" t="s">
        <v>141</v>
      </c>
    </row>
    <row r="204" spans="6:19" x14ac:dyDescent="0.2">
      <c r="G204" s="1" t="s">
        <v>142</v>
      </c>
    </row>
    <row r="206" spans="6:19" x14ac:dyDescent="0.2">
      <c r="G206" s="75" t="s">
        <v>144</v>
      </c>
    </row>
  </sheetData>
  <pageMargins left="0.7" right="0.7" top="0.75" bottom="0.75" header="0.3" footer="0.3"/>
  <pageSetup paperSize="17" scale="90" orientation="landscape" r:id="rId1"/>
  <headerFooter>
    <oddHeader>&amp;R&amp;"Arial,Bold Italic"&amp;18&amp;K006A71&amp;G</oddHeader>
    <oddFooter>&amp;L&amp;P of &amp;N&amp;R&amp;G</oddFooter>
  </headerFooter>
  <rowBreaks count="4" manualBreakCount="4">
    <brk id="56" max="16383" man="1"/>
    <brk id="98" max="16383" man="1"/>
    <brk id="119" max="16383" man="1"/>
    <brk id="176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7F0744981CE941B65864CB5F375530" ma:contentTypeVersion="119" ma:contentTypeDescription="" ma:contentTypeScope="" ma:versionID="c80177899861fd973723b07a0a4940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2018-04-02T07:00:00+00:00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Natural Gas Biennial Conservation Plan.</Nickname>
    <DocketNumber xmlns="dc463f71-b30c-4ab2-9473-d307f9d35888">152075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2C4EE88-B6B5-4377-BA55-E901AB213BB3}"/>
</file>

<file path=customXml/itemProps2.xml><?xml version="1.0" encoding="utf-8"?>
<ds:datastoreItem xmlns:ds="http://schemas.openxmlformats.org/officeDocument/2006/customXml" ds:itemID="{3C1C53F7-BD6C-443F-960C-B396610CE938}"/>
</file>

<file path=customXml/itemProps3.xml><?xml version="1.0" encoding="utf-8"?>
<ds:datastoreItem xmlns:ds="http://schemas.openxmlformats.org/officeDocument/2006/customXml" ds:itemID="{EAE34146-E5C4-48F4-B47F-5974D58D1983}"/>
</file>

<file path=customXml/itemProps4.xml><?xml version="1.0" encoding="utf-8"?>
<ds:datastoreItem xmlns:ds="http://schemas.openxmlformats.org/officeDocument/2006/customXml" ds:itemID="{D0ABC5C3-1F64-4944-A033-EBE857698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 Electric </vt:lpstr>
      <vt:lpstr>2017 Natural Gas</vt:lpstr>
      <vt:lpstr>Sheet3</vt:lpstr>
      <vt:lpstr>'2017 Electric '!Print_Titles</vt:lpstr>
      <vt:lpstr>'2017 Natural Gas'!Print_Titles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Huey, Lorilyn (UTC)</cp:lastModifiedBy>
  <cp:lastPrinted>2018-03-01T18:48:16Z</cp:lastPrinted>
  <dcterms:created xsi:type="dcterms:W3CDTF">2017-10-30T14:23:27Z</dcterms:created>
  <dcterms:modified xsi:type="dcterms:W3CDTF">2018-04-02T16:32:12Z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0x0101006E56B4D1795A2E4DB2F0B01679ED314A005C7F0744981CE941B65864CB5F375530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