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externalLinks/externalLink9.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xl/externalLinks/externalLink7.xml" ContentType="application/vnd.openxmlformats-officedocument.spreadsheetml.externalLink+xml"/>
  <Override PartName="/xl/comments1.xml" ContentType="application/vnd.openxmlformats-officedocument.spreadsheetml.comments+xml"/>
  <Override PartName="/xl/externalLinks/externalLink8.xml" ContentType="application/vnd.openxmlformats-officedocument.spreadsheetml.externalLink+xml"/>
  <Override PartName="/xl/externalLinks/externalLink6.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H:\2018\March 2018\March 23\170929\Northwest Industrial Gas Users\"/>
    </mc:Choice>
  </mc:AlternateContent>
  <bookViews>
    <workbookView xWindow="480" yWindow="13515" windowWidth="18195" windowHeight="6900" firstSheet="2" activeTab="6"/>
  </bookViews>
  <sheets>
    <sheet name="Table 1" sheetId="64" r:id="rId1"/>
    <sheet name="1) Lead Sheet" sheetId="61" r:id="rId2"/>
    <sheet name="2) ROO Summary Sheet" sheetId="1" r:id="rId3"/>
    <sheet name="3) Rev Req Calc" sheetId="26" r:id="rId4"/>
    <sheet name="4) Conversion Factor" sheetId="2" r:id="rId5"/>
    <sheet name="5) Cost of Capital" sheetId="3" r:id="rId6"/>
    <sheet name="6) Adj Detail" sheetId="4" r:id="rId7"/>
    <sheet name="7) P-3 Pro Forma Capital" sheetId="67" r:id="rId8"/>
    <sheet name="8) P-4 Rate Case Costs" sheetId="15" r:id="rId9"/>
    <sheet name="9) TCJA-1 Restate Tax Expense" sheetId="66" r:id="rId10"/>
    <sheet name="10) TCJA-2 EDFIT" sheetId="65" r:id="rId11"/>
    <sheet name="11) TCJA-3 Deferral " sheetId="62" r:id="rId12"/>
    <sheet name="11) Deferral Amort" sheetId="63" r:id="rId13"/>
    <sheet name="Workpapers-&gt;" sheetId="68" r:id="rId14"/>
    <sheet name="Pro Forma Plant Additions" sheetId="13" r:id="rId15"/>
    <sheet name="Operating Report" sheetId="31" r:id="rId16"/>
    <sheet name="Rate Base" sheetId="32" r:id="rId17"/>
    <sheet name="Plant in Serv &amp; Accum Depr" sheetId="58" r:id="rId18"/>
    <sheet name="Adv for Const. &amp; Def Tax" sheetId="59" r:id="rId19"/>
    <sheet name="Working Capital" sheetId="33" r:id="rId20"/>
    <sheet name="State Allocation Formulas" sheetId="60" r:id="rId21"/>
    <sheet name="Adjustment Workpapers---&gt;" sheetId="30" r:id="rId22"/>
    <sheet name="Weather Normalization" sheetId="21" r:id="rId23"/>
    <sheet name="Advertising Adj" sheetId="18" r:id="rId24"/>
    <sheet name="Restate Revenues" sheetId="36" r:id="rId25"/>
    <sheet name="Low-Income Bill Assistance" sheetId="44" r:id="rId26"/>
    <sheet name="Interest Coord. Adj." sheetId="24" r:id="rId27"/>
    <sheet name="Pro Forma Wage Adjustment" sheetId="6" r:id="rId28"/>
    <sheet name="Pro Forma Compliance Department" sheetId="46" r:id="rId29"/>
    <sheet name="MAOP UG-160787 Deferral" sheetId="38" r:id="rId30"/>
    <sheet name="Miscellaneous Charges" sheetId="41" r:id="rId31"/>
    <sheet name="CRM Adjustment (a)" sheetId="47" r:id="rId32"/>
    <sheet name="CRM Adjustment (b)" sheetId="48" r:id="rId33"/>
    <sheet name="Revenue Adjustment" sheetId="5" r:id="rId34"/>
    <sheet name="Working Capital Work Paper" sheetId="34" r:id="rId35"/>
    <sheet name="MPP-6 - Plant Additions" sheetId="49" r:id="rId36"/>
    <sheet name="MPP-6 - Supporting Explanations" sheetId="50" r:id="rId37"/>
    <sheet name="Liu Weather Normalization" sheetId="69" r:id="rId38"/>
    <sheet name="Liu Restate Rev WP" sheetId="70"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_FilterDatabase" localSheetId="35" hidden="1">'MPP-6 - Plant Additions'!$A$7:$Y$210</definedName>
    <definedName name="Allocators">'[1]E-ALL'!$C$7:$J$145</definedName>
    <definedName name="C_AAM_Titles">#REF!,#REF!</definedName>
    <definedName name="C_ADP_Titles">#REF!,#REF!</definedName>
    <definedName name="C_DTX_Titles">#REF!,#REF!</definedName>
    <definedName name="C_GPL_Titles">#REF!,#REF!</definedName>
    <definedName name="C_IPL_Titles">#REF!,#REF!</definedName>
    <definedName name="_xlnm.Database">[2]!_xlnm.Database</definedName>
    <definedName name="E_903">#REF!</definedName>
    <definedName name="E_903_Area">#REF!</definedName>
    <definedName name="E_903_Titles">#REF!,#REF!</definedName>
    <definedName name="E_908_Titles">#REF!,#REF!</definedName>
    <definedName name="E_928_Titles">#REF!,#REF!</definedName>
    <definedName name="E_ADP_Titles">#REF!,#REF!</definedName>
    <definedName name="E_ALL_Titles">#REF!,#REF!</definedName>
    <definedName name="E_APL_Titles">#REF!,#REF!</definedName>
    <definedName name="E_CAM_Titles">#REF!,#REF!</definedName>
    <definedName name="E_DTE_Titles">#REF!,#REF!</definedName>
    <definedName name="E_FIT_Titles">#REF!,#REF!</definedName>
    <definedName name="E_OPS_Titles">#REF!,#REF!</definedName>
    <definedName name="E_OTX_Titles">#REF!,#REF!</definedName>
    <definedName name="E_PLT_Titles">#REF!,#REF!</definedName>
    <definedName name="E_ROR_Titles">#REF!,#REF!</definedName>
    <definedName name="E_SCM_Titles">#REF!,#REF!</definedName>
    <definedName name="e_State_9473">#REF!</definedName>
    <definedName name="first_day">'[3]Historic Data'!$K$3</definedName>
    <definedName name="G_804_Titles">#REF!,#REF!</definedName>
    <definedName name="G_807_Titles">#REF!,#REF!</definedName>
    <definedName name="G_928_Titles">#REF!,#REF!</definedName>
    <definedName name="G_ADP_Titles">#REF!,#REF!</definedName>
    <definedName name="G_ALL_Titles">#REF!,#REF!</definedName>
    <definedName name="G_APL_Titles">#REF!,#REF!</definedName>
    <definedName name="G_CAM_Titles">#REF!,#REF!</definedName>
    <definedName name="G_DTE_Titles">#REF!,#REF!</definedName>
    <definedName name="G_FIT_Titles">#REF!,#REF!</definedName>
    <definedName name="G_OPS_Titles">#REF!,#REF!</definedName>
    <definedName name="G_OTX_Titles">#REF!,#REF!</definedName>
    <definedName name="G_PLT_Titles">#REF!,#REF!</definedName>
    <definedName name="G_ROR_Titles">#REF!,#REF!</definedName>
    <definedName name="G_SCM_Titles">#REF!,#REF!</definedName>
    <definedName name="ID_Gas" localSheetId="1">'[4]DEBT CALC'!#REF!</definedName>
    <definedName name="ID_Gas">'[5]DEBT CALC'!#REF!</definedName>
    <definedName name="months">[6]DATA!$H$2</definedName>
    <definedName name="_xlnm.Print_Area" localSheetId="1">'1) Lead Sheet'!$A$1:$AF$50</definedName>
    <definedName name="_xlnm.Print_Area" localSheetId="12">'11) Deferral Amort'!$A$1:$O$33</definedName>
    <definedName name="_xlnm.Print_Area" localSheetId="2">'2) ROO Summary Sheet'!$A$1:$M$43</definedName>
    <definedName name="_xlnm.Print_Area" localSheetId="3">'3) Rev Req Calc'!$A$1:$G$22</definedName>
    <definedName name="_xlnm.Print_Area" localSheetId="4">'4) Conversion Factor'!$A$1:$G$33</definedName>
    <definedName name="_xlnm.Print_Area" localSheetId="5">'5) Cost of Capital'!$A$1:$J$31</definedName>
    <definedName name="_xlnm.Print_Area" localSheetId="6">'6) Adj Detail'!$A$1:$AD$43</definedName>
    <definedName name="_xlnm.Print_Area" localSheetId="7">'7) P-3 Pro Forma Capital'!$A$1:$I$34</definedName>
    <definedName name="_xlnm.Print_Area" localSheetId="31">'CRM Adjustment (a)'!$A$1:$H$23</definedName>
    <definedName name="_xlnm.Print_Area" localSheetId="37">'Liu Weather Normalization'!$A$1:$H$46</definedName>
    <definedName name="_xlnm.Print_Area" localSheetId="30">'Miscellaneous Charges'!$A$1:$O$19</definedName>
    <definedName name="_xlnm.Print_Area" localSheetId="15">'Operating Report'!$A$1:$H$186,'Operating Report'!$I$1:$Y$157</definedName>
    <definedName name="_xlnm.Print_Area" localSheetId="14">'Pro Forma Plant Additions'!$A$1:$F$34</definedName>
    <definedName name="_xlnm.Print_Area" localSheetId="27">'Pro Forma Wage Adjustment'!$A$1:$P$92</definedName>
    <definedName name="_xlnm.Print_Area" localSheetId="33">'Revenue Adjustment'!$A$1:$G$27</definedName>
    <definedName name="_xlnm.Print_Area" localSheetId="20">'State Allocation Formulas'!$A$1:$T$80</definedName>
    <definedName name="_xlnm.Print_Area" localSheetId="22">'Weather Normalization'!$A$1:$H$46</definedName>
    <definedName name="_xlnm.Print_Area" localSheetId="34">'Working Capital Work Paper'!$C$1:$X$344</definedName>
    <definedName name="Print_for_Checking" localSheetId="1">'[4]ADJ SUMMARY'!#REF!:'[4]ADJ SUMMARY'!#REF!</definedName>
    <definedName name="Print_for_Checking">'[5]ADJ SUMMARY'!#REF!:'[5]ADJ SUMMARY'!#REF!</definedName>
    <definedName name="_xlnm.Print_Titles" localSheetId="1">'1) Lead Sheet'!$A:$G</definedName>
    <definedName name="_xlnm.Print_Titles" localSheetId="6">'6) Adj Detail'!$A:$B</definedName>
    <definedName name="_xlnm.Print_Titles" localSheetId="18">'Adv for Const. &amp; Def Tax'!$A:$A,'Adv for Const. &amp; Def Tax'!$1:$8</definedName>
    <definedName name="_xlnm.Print_Titles" localSheetId="23">'Advertising Adj'!$1:$5</definedName>
    <definedName name="_xlnm.Print_Titles" localSheetId="32">'CRM Adjustment (b)'!$A:$A,'CRM Adjustment (b)'!$1:$7</definedName>
    <definedName name="_xlnm.Print_Titles" localSheetId="35">'MPP-6 - Plant Additions'!$A:$A,'MPP-6 - Plant Additions'!$1:$7</definedName>
    <definedName name="_xlnm.Print_Titles" localSheetId="36">'MPP-6 - Supporting Explanations'!$A:$B,'MPP-6 - Supporting Explanations'!$1:$7</definedName>
    <definedName name="_xlnm.Print_Titles" localSheetId="15">'Operating Report'!$A:$A,'Operating Report'!$1:$13</definedName>
    <definedName name="_xlnm.Print_Titles" localSheetId="17">'Plant in Serv &amp; Accum Depr'!$A:$A,'Plant in Serv &amp; Accum Depr'!$1:$8</definedName>
    <definedName name="_xlnm.Print_Titles" localSheetId="27">'Pro Forma Wage Adjustment'!$1:$7</definedName>
    <definedName name="_xlnm.Print_Titles" localSheetId="24">'Restate Revenues'!$1:$8</definedName>
    <definedName name="_xlnm.Print_Titles" localSheetId="34">'Working Capital Work Paper'!$C:$C,'Working Capital Work Paper'!$1:$9</definedName>
    <definedName name="rbcalc">[6]DATA!$H$3</definedName>
    <definedName name="rbcalc_heading">[6]DATA!$H$5</definedName>
    <definedName name="RRC_Adjustment_Print" localSheetId="1">#REF!</definedName>
    <definedName name="RRC_Rate_Print" localSheetId="1">#REF!</definedName>
    <definedName name="Summary" localSheetId="1">#REF!</definedName>
    <definedName name="Summary">#REF!</definedName>
    <definedName name="tp_heading">[6]DATA!$H$4</definedName>
    <definedName name="WA_Gas" localSheetId="1">'[4]DEBT CALC'!#REF!</definedName>
    <definedName name="WA_Gas">'[5]DEBT CALC'!#REF!</definedName>
  </definedNames>
  <calcPr calcId="152511"/>
  <fileRecoveryPr autoRecover="0"/>
</workbook>
</file>

<file path=xl/calcChain.xml><?xml version="1.0" encoding="utf-8"?>
<calcChain xmlns="http://schemas.openxmlformats.org/spreadsheetml/2006/main">
  <c r="P14" i="65" l="1"/>
  <c r="L14" i="65"/>
  <c r="J14" i="65"/>
  <c r="H14" i="65"/>
  <c r="F15" i="65"/>
  <c r="F14" i="65"/>
  <c r="F12" i="65"/>
  <c r="H12" i="65" s="1"/>
  <c r="J12" i="65" s="1"/>
  <c r="L12" i="65" s="1"/>
  <c r="P12" i="65" s="1"/>
  <c r="H41" i="65"/>
  <c r="H39" i="65"/>
  <c r="H38" i="65"/>
  <c r="H37" i="65"/>
  <c r="H35" i="65"/>
  <c r="I17" i="64" l="1"/>
  <c r="I18" i="64"/>
  <c r="I19" i="64"/>
  <c r="W23" i="61"/>
  <c r="W27" i="61"/>
  <c r="R17" i="61"/>
  <c r="T17" i="61" s="1"/>
  <c r="P17" i="61"/>
  <c r="W17" i="61"/>
  <c r="Y17" i="61" s="1"/>
  <c r="AC17" i="61" s="1"/>
  <c r="M17" i="61"/>
  <c r="F17" i="61"/>
  <c r="F15" i="66"/>
  <c r="M15" i="66"/>
  <c r="Q15" i="66" s="1"/>
  <c r="H15" i="66"/>
  <c r="L15" i="66" s="1"/>
  <c r="P15" i="66" s="1"/>
  <c r="R15" i="66" s="1"/>
  <c r="O21" i="4"/>
  <c r="K28" i="4"/>
  <c r="K25" i="4"/>
  <c r="K22" i="4"/>
  <c r="K21" i="4"/>
  <c r="K20" i="4"/>
  <c r="H28" i="4"/>
  <c r="H25" i="4"/>
  <c r="H22" i="4"/>
  <c r="H21" i="4"/>
  <c r="H41" i="4"/>
  <c r="R12" i="4"/>
  <c r="F12" i="4"/>
  <c r="F18" i="4"/>
  <c r="D18" i="4"/>
  <c r="D12" i="4"/>
  <c r="E12" i="69"/>
  <c r="F12" i="69" s="1"/>
  <c r="E15" i="69"/>
  <c r="F15" i="69" s="1"/>
  <c r="D18" i="69"/>
  <c r="F18" i="69" s="1"/>
  <c r="H18" i="69" s="1"/>
  <c r="E18" i="69"/>
  <c r="D19" i="69"/>
  <c r="F19" i="69" s="1"/>
  <c r="E19" i="69"/>
  <c r="E26" i="69"/>
  <c r="F26" i="69"/>
  <c r="E29" i="69"/>
  <c r="F29" i="69" s="1"/>
  <c r="E32" i="69"/>
  <c r="F32" i="69"/>
  <c r="E35" i="69"/>
  <c r="F35" i="69" s="1"/>
  <c r="D42" i="69"/>
  <c r="E42" i="69"/>
  <c r="E43" i="69"/>
  <c r="D43" i="69" s="1"/>
  <c r="D46" i="69" s="1"/>
  <c r="D44" i="69"/>
  <c r="E44" i="69"/>
  <c r="E45" i="69"/>
  <c r="D45" i="69" s="1"/>
  <c r="F46" i="69"/>
  <c r="J15" i="66" l="1"/>
  <c r="N15" i="66" s="1"/>
  <c r="H29" i="4"/>
  <c r="H31" i="4" s="1"/>
  <c r="H32" i="4" s="1"/>
  <c r="H15" i="69"/>
  <c r="F37" i="69"/>
  <c r="H19" i="69"/>
  <c r="F21" i="69"/>
  <c r="H12" i="69"/>
  <c r="E21" i="69"/>
  <c r="E37" i="69"/>
  <c r="T15" i="66" l="1"/>
  <c r="H21" i="69"/>
  <c r="A11" i="4" l="1"/>
  <c r="F33" i="2"/>
  <c r="F13" i="67"/>
  <c r="D13" i="67"/>
  <c r="Y227" i="49"/>
  <c r="D10" i="67"/>
  <c r="F10" i="67" s="1"/>
  <c r="F8" i="67"/>
  <c r="F19" i="67" s="1"/>
  <c r="F21" i="67" s="1"/>
  <c r="D8" i="67"/>
  <c r="D19" i="67" s="1"/>
  <c r="D21" i="67" s="1"/>
  <c r="B9" i="66"/>
  <c r="M27" i="66"/>
  <c r="Q27" i="66" s="1"/>
  <c r="M26" i="66"/>
  <c r="Q26" i="66" s="1"/>
  <c r="M25" i="66"/>
  <c r="Q25" i="66" s="1"/>
  <c r="M24" i="66"/>
  <c r="Q24" i="66" s="1"/>
  <c r="M23" i="66"/>
  <c r="Q23" i="66" s="1"/>
  <c r="M22" i="66"/>
  <c r="Q22" i="66" s="1"/>
  <c r="M21" i="66"/>
  <c r="Q21" i="66" s="1"/>
  <c r="M20" i="66"/>
  <c r="Q20" i="66" s="1"/>
  <c r="M19" i="66"/>
  <c r="Q19" i="66" s="1"/>
  <c r="M18" i="66"/>
  <c r="Q18" i="66" s="1"/>
  <c r="M17" i="66"/>
  <c r="Q17" i="66" s="1"/>
  <c r="M16" i="66"/>
  <c r="Q16" i="66" s="1"/>
  <c r="M14" i="66"/>
  <c r="Q14" i="66" s="1"/>
  <c r="M13" i="66"/>
  <c r="Q13" i="66" s="1"/>
  <c r="M12" i="66"/>
  <c r="Q12" i="66" s="1"/>
  <c r="M11" i="66"/>
  <c r="Q11" i="66" s="1"/>
  <c r="I9" i="66"/>
  <c r="M9" i="66" s="1"/>
  <c r="H9" i="66"/>
  <c r="L9" i="66" s="1"/>
  <c r="P9" i="66" s="1"/>
  <c r="F27" i="66"/>
  <c r="F26" i="66"/>
  <c r="F25" i="66"/>
  <c r="F24" i="66"/>
  <c r="F23" i="66"/>
  <c r="F22" i="66"/>
  <c r="F21" i="66"/>
  <c r="F20" i="66"/>
  <c r="F19" i="66"/>
  <c r="F18" i="66"/>
  <c r="F17" i="66"/>
  <c r="F16" i="66"/>
  <c r="F14" i="66"/>
  <c r="F13" i="66"/>
  <c r="F11" i="66"/>
  <c r="F12" i="66"/>
  <c r="B10" i="65"/>
  <c r="F11" i="65"/>
  <c r="H11" i="65" s="1"/>
  <c r="J11" i="65" s="1"/>
  <c r="L11" i="65" s="1"/>
  <c r="P11" i="65" s="1"/>
  <c r="F10" i="65"/>
  <c r="H10" i="65" s="1"/>
  <c r="J10" i="65" s="1"/>
  <c r="C7" i="64"/>
  <c r="I11" i="15"/>
  <c r="I10" i="15"/>
  <c r="I9" i="15"/>
  <c r="W33" i="61"/>
  <c r="Y33" i="61" s="1"/>
  <c r="W31" i="61"/>
  <c r="Y31" i="61" s="1"/>
  <c r="R33" i="61"/>
  <c r="F33" i="61"/>
  <c r="S41" i="4"/>
  <c r="S15" i="4"/>
  <c r="R32" i="61"/>
  <c r="F32" i="61"/>
  <c r="R31" i="61"/>
  <c r="F31" i="61"/>
  <c r="U41" i="4"/>
  <c r="U15" i="4"/>
  <c r="T25" i="4"/>
  <c r="W32" i="61" s="1"/>
  <c r="Y32" i="61" s="1"/>
  <c r="T41" i="4"/>
  <c r="T15" i="4"/>
  <c r="AA208" i="49"/>
  <c r="B11" i="65" l="1"/>
  <c r="C9" i="64"/>
  <c r="B11" i="66"/>
  <c r="B12" i="66" s="1"/>
  <c r="A12" i="4"/>
  <c r="H21" i="67"/>
  <c r="H8" i="67"/>
  <c r="H19" i="67"/>
  <c r="L35" i="4"/>
  <c r="F11" i="67"/>
  <c r="D14" i="67"/>
  <c r="D16" i="67" s="1"/>
  <c r="D23" i="67" s="1"/>
  <c r="D25" i="67" s="1"/>
  <c r="F14" i="67"/>
  <c r="D11" i="67"/>
  <c r="M29" i="66"/>
  <c r="Q9" i="66"/>
  <c r="Q29" i="66" s="1"/>
  <c r="J9" i="66"/>
  <c r="N9" i="66" s="1"/>
  <c r="I29" i="66"/>
  <c r="L10" i="65"/>
  <c r="P33" i="61"/>
  <c r="P32" i="61"/>
  <c r="P31" i="61"/>
  <c r="C10" i="64" l="1"/>
  <c r="C11" i="64" s="1"/>
  <c r="B13" i="66"/>
  <c r="B14" i="66" s="1"/>
  <c r="B15" i="66" s="1"/>
  <c r="A13" i="4"/>
  <c r="D27" i="67"/>
  <c r="D28" i="67"/>
  <c r="F27" i="67"/>
  <c r="H27" i="67" s="1"/>
  <c r="W24" i="61" s="1"/>
  <c r="F16" i="67"/>
  <c r="H14" i="67"/>
  <c r="L28" i="4"/>
  <c r="H11" i="67"/>
  <c r="R9" i="66"/>
  <c r="T9" i="66" s="1"/>
  <c r="K7" i="64"/>
  <c r="Z31" i="4"/>
  <c r="A10" i="1"/>
  <c r="A11" i="1" s="1"/>
  <c r="A12" i="1" s="1"/>
  <c r="Y16" i="61"/>
  <c r="Y14" i="61"/>
  <c r="Y23" i="61"/>
  <c r="Y26" i="61"/>
  <c r="Y27" i="61"/>
  <c r="Y28" i="61"/>
  <c r="Y29" i="61"/>
  <c r="AA211" i="49"/>
  <c r="AA210" i="49"/>
  <c r="AB210" i="49" s="1"/>
  <c r="AB208" i="49"/>
  <c r="AB212" i="49" s="1"/>
  <c r="AA209" i="49"/>
  <c r="E9" i="13"/>
  <c r="B9" i="63"/>
  <c r="B10" i="63" s="1"/>
  <c r="B11" i="63" s="1"/>
  <c r="B12" i="63" s="1"/>
  <c r="B13" i="63" s="1"/>
  <c r="B14" i="63" s="1"/>
  <c r="B15" i="63" s="1"/>
  <c r="B16" i="63" s="1"/>
  <c r="B17" i="63" s="1"/>
  <c r="B18" i="63" s="1"/>
  <c r="B19" i="63" s="1"/>
  <c r="B20" i="63" s="1"/>
  <c r="B21" i="63" s="1"/>
  <c r="B22" i="63" s="1"/>
  <c r="B23" i="63" s="1"/>
  <c r="B24" i="63" s="1"/>
  <c r="B25" i="63" s="1"/>
  <c r="B26" i="63" s="1"/>
  <c r="B27" i="63" s="1"/>
  <c r="B28" i="63" s="1"/>
  <c r="B29" i="63" s="1"/>
  <c r="B30" i="63" s="1"/>
  <c r="B31" i="63" s="1"/>
  <c r="F9" i="63"/>
  <c r="F10" i="63"/>
  <c r="F11" i="63"/>
  <c r="F12" i="63"/>
  <c r="F13" i="63"/>
  <c r="F14" i="63"/>
  <c r="F15" i="63"/>
  <c r="F16" i="63"/>
  <c r="F17" i="63"/>
  <c r="F18" i="63"/>
  <c r="F19" i="63"/>
  <c r="F20" i="63"/>
  <c r="F21" i="63"/>
  <c r="F22" i="63"/>
  <c r="F23" i="63"/>
  <c r="F24" i="63"/>
  <c r="F25" i="63"/>
  <c r="F26" i="63"/>
  <c r="F27" i="63"/>
  <c r="F28" i="63"/>
  <c r="F29" i="63"/>
  <c r="F30" i="63"/>
  <c r="F31" i="63"/>
  <c r="F33" i="63"/>
  <c r="A7" i="62"/>
  <c r="D14" i="62"/>
  <c r="D17" i="62"/>
  <c r="E23" i="62"/>
  <c r="F23" i="62" s="1"/>
  <c r="G23" i="62" s="1"/>
  <c r="H23" i="62" s="1"/>
  <c r="I23" i="62" s="1"/>
  <c r="J23" i="62" s="1"/>
  <c r="Y27" i="4" l="1"/>
  <c r="W39" i="61"/>
  <c r="Y39" i="61" s="1"/>
  <c r="A14" i="4"/>
  <c r="A15" i="4" s="1"/>
  <c r="Y24" i="61"/>
  <c r="F23" i="67"/>
  <c r="L36" i="4"/>
  <c r="H16" i="67"/>
  <c r="B16" i="66"/>
  <c r="C12" i="64"/>
  <c r="E18" i="13"/>
  <c r="A13" i="1"/>
  <c r="A8" i="62"/>
  <c r="A9" i="62" s="1"/>
  <c r="Y29" i="4" l="1"/>
  <c r="Y31" i="4" s="1"/>
  <c r="A18" i="4"/>
  <c r="F25" i="67"/>
  <c r="F28" i="67" s="1"/>
  <c r="H28" i="67" s="1"/>
  <c r="AA24" i="61" s="1"/>
  <c r="H23" i="67"/>
  <c r="L26" i="4"/>
  <c r="B17" i="66"/>
  <c r="A16" i="1"/>
  <c r="A17" i="1" s="1"/>
  <c r="A18" i="1" s="1"/>
  <c r="C10" i="62"/>
  <c r="A10" i="62"/>
  <c r="A12" i="62" s="1"/>
  <c r="C14" i="62" s="1"/>
  <c r="A19" i="4" l="1"/>
  <c r="H25" i="67"/>
  <c r="L38" i="4"/>
  <c r="F17" i="65" s="1"/>
  <c r="B18" i="66"/>
  <c r="A19" i="1"/>
  <c r="C15" i="62"/>
  <c r="A14" i="62"/>
  <c r="A15" i="62" s="1"/>
  <c r="C18" i="62" s="1"/>
  <c r="A20" i="4" l="1"/>
  <c r="H17" i="65"/>
  <c r="B19" i="66"/>
  <c r="A20" i="1"/>
  <c r="A17" i="62"/>
  <c r="A18" i="62" s="1"/>
  <c r="C17" i="62"/>
  <c r="A21" i="4" l="1"/>
  <c r="J17" i="65"/>
  <c r="B20" i="66"/>
  <c r="A21" i="1"/>
  <c r="C20" i="62"/>
  <c r="A20" i="62"/>
  <c r="A23" i="62" s="1"/>
  <c r="A22" i="4" l="1"/>
  <c r="A23" i="4" s="1"/>
  <c r="L17" i="65"/>
  <c r="B21" i="66"/>
  <c r="B22" i="66" s="1"/>
  <c r="B23" i="66" s="1"/>
  <c r="B24" i="66" s="1"/>
  <c r="B25" i="66" s="1"/>
  <c r="B26" i="66" s="1"/>
  <c r="B27" i="66" s="1"/>
  <c r="B29" i="66" s="1"/>
  <c r="B32" i="66" s="1"/>
  <c r="A22" i="1"/>
  <c r="A25" i="62"/>
  <c r="A27" i="62" s="1"/>
  <c r="C25" i="62"/>
  <c r="A24" i="4" l="1"/>
  <c r="A23" i="1"/>
  <c r="A24" i="1" s="1"/>
  <c r="C28" i="62"/>
  <c r="A28" i="62"/>
  <c r="A30" i="62" s="1"/>
  <c r="A25" i="4" l="1"/>
  <c r="A25" i="1"/>
  <c r="A26" i="1" s="1"/>
  <c r="A27" i="1" s="1"/>
  <c r="A28" i="1" s="1"/>
  <c r="C36" i="62"/>
  <c r="A32" i="62"/>
  <c r="C30" i="62"/>
  <c r="A26" i="4" l="1"/>
  <c r="A29" i="1"/>
  <c r="A30" i="1" s="1"/>
  <c r="A33" i="1" s="1"/>
  <c r="A34" i="1" s="1"/>
  <c r="A35" i="1" s="1"/>
  <c r="A36" i="1" s="1"/>
  <c r="A34" i="62"/>
  <c r="A35" i="62" s="1"/>
  <c r="A27" i="4" l="1"/>
  <c r="A37" i="1"/>
  <c r="A38" i="1" s="1"/>
  <c r="A39" i="1" s="1"/>
  <c r="A40" i="1" s="1"/>
  <c r="A36" i="62"/>
  <c r="A37" i="62" s="1"/>
  <c r="A38" i="62" s="1"/>
  <c r="C37" i="62"/>
  <c r="A28" i="4" l="1"/>
  <c r="A29" i="4" s="1"/>
  <c r="A30" i="4" s="1"/>
  <c r="C38" i="62"/>
  <c r="A31" i="4" l="1"/>
  <c r="K175" i="31"/>
  <c r="J175" i="31"/>
  <c r="I175" i="31"/>
  <c r="A32" i="4" l="1"/>
  <c r="F11" i="2"/>
  <c r="F10" i="2"/>
  <c r="R40" i="61"/>
  <c r="R39" i="61"/>
  <c r="R37" i="61"/>
  <c r="A34" i="4" l="1"/>
  <c r="F13" i="3"/>
  <c r="F11" i="3"/>
  <c r="H11" i="3"/>
  <c r="H13" i="3"/>
  <c r="J25" i="3"/>
  <c r="F25" i="3"/>
  <c r="J24" i="3"/>
  <c r="J23" i="3"/>
  <c r="J22" i="3"/>
  <c r="A35" i="4" l="1"/>
  <c r="A36" i="4" l="1"/>
  <c r="A37" i="4" s="1"/>
  <c r="A38" i="4" s="1"/>
  <c r="F38" i="61"/>
  <c r="F39" i="61"/>
  <c r="F40" i="61"/>
  <c r="F37" i="61"/>
  <c r="AK14" i="61"/>
  <c r="AK13" i="61"/>
  <c r="Y40" i="61" s="1"/>
  <c r="R15" i="61"/>
  <c r="R16" i="61"/>
  <c r="R13" i="61"/>
  <c r="F29" i="61"/>
  <c r="R29" i="61"/>
  <c r="F30" i="61"/>
  <c r="R30" i="61"/>
  <c r="F27" i="61"/>
  <c r="R27" i="61"/>
  <c r="F28" i="61"/>
  <c r="R28" i="61"/>
  <c r="R26" i="61"/>
  <c r="F26" i="61"/>
  <c r="F25" i="61"/>
  <c r="F24" i="61"/>
  <c r="F23" i="61"/>
  <c r="F22" i="61"/>
  <c r="R14" i="61"/>
  <c r="F16" i="61"/>
  <c r="F15" i="61"/>
  <c r="F14" i="61"/>
  <c r="F13" i="61"/>
  <c r="R25" i="61"/>
  <c r="R23" i="61"/>
  <c r="R22" i="61"/>
  <c r="W19" i="61"/>
  <c r="AI15" i="61"/>
  <c r="B13" i="61"/>
  <c r="A39" i="4" l="1"/>
  <c r="A40" i="4" s="1"/>
  <c r="A41" i="4" s="1"/>
  <c r="D32" i="62"/>
  <c r="E32" i="62" s="1"/>
  <c r="F32" i="62" s="1"/>
  <c r="G32" i="62" s="1"/>
  <c r="H32" i="62" s="1"/>
  <c r="I32" i="62" s="1"/>
  <c r="J32" i="62" s="1"/>
  <c r="P40" i="61"/>
  <c r="P39" i="61"/>
  <c r="AK15" i="61"/>
  <c r="AA19" i="61"/>
  <c r="B14" i="61"/>
  <c r="A43" i="4" l="1"/>
  <c r="H8" i="63"/>
  <c r="H9" i="63" s="1"/>
  <c r="H10" i="63" s="1"/>
  <c r="H11" i="63" s="1"/>
  <c r="H12" i="63" s="1"/>
  <c r="H13" i="63" s="1"/>
  <c r="H14" i="63" s="1"/>
  <c r="H15" i="63" s="1"/>
  <c r="H16" i="63" s="1"/>
  <c r="H17" i="63" s="1"/>
  <c r="H18" i="63" s="1"/>
  <c r="H19" i="63" s="1"/>
  <c r="H20" i="63" s="1"/>
  <c r="H21" i="63" s="1"/>
  <c r="H22" i="63" s="1"/>
  <c r="H23" i="63" s="1"/>
  <c r="H24" i="63" s="1"/>
  <c r="H25" i="63" s="1"/>
  <c r="H26" i="63" s="1"/>
  <c r="H27" i="63" s="1"/>
  <c r="H28" i="63" s="1"/>
  <c r="H29" i="63" s="1"/>
  <c r="H30" i="63" s="1"/>
  <c r="H31" i="63" s="1"/>
  <c r="B15" i="61"/>
  <c r="Y19" i="61"/>
  <c r="B16" i="61" l="1"/>
  <c r="B17" i="61" s="1"/>
  <c r="B19" i="61" l="1"/>
  <c r="B22" i="61" s="1"/>
  <c r="B23" i="61" s="1"/>
  <c r="B24" i="61" s="1"/>
  <c r="B25" i="61" s="1"/>
  <c r="B26" i="61" s="1"/>
  <c r="B27" i="61" s="1"/>
  <c r="B28" i="61" s="1"/>
  <c r="B29" i="61" s="1"/>
  <c r="B30" i="61" s="1"/>
  <c r="B31" i="61" s="1"/>
  <c r="B32" i="61" s="1"/>
  <c r="B33" i="61" s="1"/>
  <c r="B37" i="61" l="1"/>
  <c r="B38" i="61" l="1"/>
  <c r="B39" i="61" s="1"/>
  <c r="B40" i="61" s="1"/>
  <c r="B42" i="61" l="1"/>
  <c r="K14" i="46" l="1"/>
  <c r="K13" i="46"/>
  <c r="K12" i="46"/>
  <c r="E30" i="13" l="1"/>
  <c r="C11" i="13" s="1"/>
  <c r="E33" i="13" l="1"/>
  <c r="C21" i="60"/>
  <c r="F9" i="31" s="1"/>
  <c r="H10" i="31"/>
  <c r="H9" i="31"/>
  <c r="G10" i="31"/>
  <c r="G9" i="31"/>
  <c r="F10" i="31"/>
  <c r="S203" i="49"/>
  <c r="S201" i="49"/>
  <c r="S199" i="49"/>
  <c r="S198" i="49"/>
  <c r="S184" i="49"/>
  <c r="S180" i="49"/>
  <c r="S179" i="49"/>
  <c r="S178" i="49"/>
  <c r="S172" i="49"/>
  <c r="S171" i="49"/>
  <c r="S110" i="49"/>
  <c r="S49" i="49"/>
  <c r="S48" i="49"/>
  <c r="S21" i="49"/>
  <c r="S20" i="49"/>
  <c r="S19" i="49"/>
  <c r="S18" i="49"/>
  <c r="S17" i="49"/>
  <c r="S16" i="49"/>
  <c r="S15" i="49"/>
  <c r="S14" i="49"/>
  <c r="S13" i="49"/>
  <c r="S12" i="49"/>
  <c r="S11" i="49"/>
  <c r="S10" i="49"/>
  <c r="S9" i="49"/>
  <c r="S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K15" i="31"/>
  <c r="C16" i="60" l="1"/>
  <c r="Q18" i="60"/>
  <c r="D16" i="60" l="1"/>
  <c r="D21" i="60" s="1"/>
  <c r="E45" i="21"/>
  <c r="E44" i="21"/>
  <c r="E43" i="21"/>
  <c r="E42" i="21"/>
  <c r="F45" i="21"/>
  <c r="E19" i="21" s="1"/>
  <c r="F44" i="21"/>
  <c r="E32" i="21" s="1"/>
  <c r="F43" i="21"/>
  <c r="E15" i="21" s="1"/>
  <c r="F42" i="21"/>
  <c r="E12" i="21" s="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D10" i="38" l="1"/>
  <c r="G22" i="5" l="1"/>
  <c r="G21" i="5"/>
  <c r="L29" i="36"/>
  <c r="M29" i="36" s="1"/>
  <c r="F13" i="4" s="1"/>
  <c r="X228" i="49" l="1"/>
  <c r="X227" i="49"/>
  <c r="Z221" i="49"/>
  <c r="R204" i="49"/>
  <c r="O204" i="49"/>
  <c r="N204" i="49"/>
  <c r="M204" i="49"/>
  <c r="L204" i="49"/>
  <c r="K204" i="49"/>
  <c r="J204" i="49"/>
  <c r="I204" i="49"/>
  <c r="H204" i="49"/>
  <c r="G204" i="49"/>
  <c r="F204" i="49"/>
  <c r="E204" i="49"/>
  <c r="D204" i="49"/>
  <c r="V203" i="49"/>
  <c r="U203" i="49"/>
  <c r="T203" i="49"/>
  <c r="X203" i="49" s="1"/>
  <c r="V202" i="49"/>
  <c r="U202" i="49"/>
  <c r="W202" i="49" s="1"/>
  <c r="V201" i="49"/>
  <c r="U201" i="49"/>
  <c r="T201" i="49"/>
  <c r="X201" i="49" s="1"/>
  <c r="V200" i="49"/>
  <c r="U200" i="49"/>
  <c r="T200" i="49"/>
  <c r="V199" i="49"/>
  <c r="U199" i="49"/>
  <c r="T199" i="49"/>
  <c r="X199" i="49" s="1"/>
  <c r="V198" i="49"/>
  <c r="U198" i="49"/>
  <c r="T198" i="49"/>
  <c r="X198" i="49" s="1"/>
  <c r="V197" i="49"/>
  <c r="U197" i="49"/>
  <c r="W197" i="49" s="1"/>
  <c r="V196" i="49"/>
  <c r="U196" i="49"/>
  <c r="V195" i="49"/>
  <c r="U195" i="49"/>
  <c r="T195" i="49"/>
  <c r="V194" i="49"/>
  <c r="U194" i="49"/>
  <c r="T194" i="49"/>
  <c r="V193" i="49"/>
  <c r="U193" i="49"/>
  <c r="W193" i="49" s="1"/>
  <c r="T193" i="49"/>
  <c r="V192" i="49"/>
  <c r="U192" i="49"/>
  <c r="T192" i="49"/>
  <c r="V191" i="49"/>
  <c r="U191" i="49"/>
  <c r="W191" i="49" s="1"/>
  <c r="T191" i="49"/>
  <c r="V190" i="49"/>
  <c r="U190" i="49"/>
  <c r="T190" i="49"/>
  <c r="V189" i="49"/>
  <c r="U189" i="49"/>
  <c r="T189" i="49"/>
  <c r="X189" i="49" s="1"/>
  <c r="V188" i="49"/>
  <c r="U188" i="49"/>
  <c r="W188" i="49" s="1"/>
  <c r="T188" i="49"/>
  <c r="X188" i="49" s="1"/>
  <c r="X225" i="49" s="1"/>
  <c r="Z225" i="49" s="1"/>
  <c r="W187" i="49"/>
  <c r="V187" i="49"/>
  <c r="U187" i="49"/>
  <c r="T187" i="49"/>
  <c r="V186" i="49"/>
  <c r="U186" i="49"/>
  <c r="T186" i="49"/>
  <c r="X186" i="49" s="1"/>
  <c r="V185" i="49"/>
  <c r="U185" i="49"/>
  <c r="T185" i="49"/>
  <c r="X185" i="49" s="1"/>
  <c r="X223" i="49" s="1"/>
  <c r="Z223" i="49" s="1"/>
  <c r="V184" i="49"/>
  <c r="U184" i="49"/>
  <c r="T184" i="49"/>
  <c r="V183" i="49"/>
  <c r="U183" i="49"/>
  <c r="W183" i="49" s="1"/>
  <c r="T183" i="49"/>
  <c r="V182" i="49"/>
  <c r="U182" i="49"/>
  <c r="V181" i="49"/>
  <c r="U181" i="49"/>
  <c r="V180" i="49"/>
  <c r="U180" i="49"/>
  <c r="W180" i="49" s="1"/>
  <c r="T180" i="49"/>
  <c r="V179" i="49"/>
  <c r="W179" i="49" s="1"/>
  <c r="U179" i="49"/>
  <c r="T179" i="49"/>
  <c r="V178" i="49"/>
  <c r="U178" i="49"/>
  <c r="T178" i="49"/>
  <c r="V177" i="49"/>
  <c r="U177" i="49"/>
  <c r="W177" i="49" s="1"/>
  <c r="T177" i="49"/>
  <c r="V176" i="49"/>
  <c r="U176" i="49"/>
  <c r="T176" i="49"/>
  <c r="V175" i="49"/>
  <c r="U175" i="49"/>
  <c r="W175" i="49" s="1"/>
  <c r="T175" i="49"/>
  <c r="V174" i="49"/>
  <c r="U174" i="49"/>
  <c r="W174" i="49" s="1"/>
  <c r="V173" i="49"/>
  <c r="U173" i="49"/>
  <c r="V172" i="49"/>
  <c r="U172" i="49"/>
  <c r="T172" i="49"/>
  <c r="V171" i="49"/>
  <c r="U171" i="49"/>
  <c r="T171" i="49"/>
  <c r="R167" i="49"/>
  <c r="O167" i="49"/>
  <c r="N167" i="49"/>
  <c r="M167" i="49"/>
  <c r="L167" i="49"/>
  <c r="K167" i="49"/>
  <c r="J167" i="49"/>
  <c r="I167" i="49"/>
  <c r="H167" i="49"/>
  <c r="G167" i="49"/>
  <c r="F167" i="49"/>
  <c r="E167" i="49"/>
  <c r="D167" i="49"/>
  <c r="V166" i="49"/>
  <c r="U166" i="49"/>
  <c r="T166" i="49"/>
  <c r="V165" i="49"/>
  <c r="U165" i="49"/>
  <c r="T165" i="49"/>
  <c r="V164" i="49"/>
  <c r="U164" i="49"/>
  <c r="V163" i="49"/>
  <c r="U163" i="49"/>
  <c r="T163" i="49"/>
  <c r="V162" i="49"/>
  <c r="U162" i="49"/>
  <c r="T162" i="49"/>
  <c r="V161" i="49"/>
  <c r="U161" i="49"/>
  <c r="T161" i="49"/>
  <c r="V160" i="49"/>
  <c r="U160" i="49"/>
  <c r="W160" i="49" s="1"/>
  <c r="T160" i="49"/>
  <c r="X160" i="49" s="1"/>
  <c r="V159" i="49"/>
  <c r="U159" i="49"/>
  <c r="T159" i="49"/>
  <c r="V158" i="49"/>
  <c r="U158" i="49"/>
  <c r="T158" i="49"/>
  <c r="V157" i="49"/>
  <c r="U157" i="49"/>
  <c r="T157" i="49"/>
  <c r="V156" i="49"/>
  <c r="U156" i="49"/>
  <c r="W156" i="49" s="1"/>
  <c r="T156" i="49"/>
  <c r="V155" i="49"/>
  <c r="U155" i="49"/>
  <c r="V154" i="49"/>
  <c r="U154" i="49"/>
  <c r="T154" i="49"/>
  <c r="V153" i="49"/>
  <c r="U153" i="49"/>
  <c r="W153" i="49" s="1"/>
  <c r="T153" i="49"/>
  <c r="V152" i="49"/>
  <c r="U152" i="49"/>
  <c r="T152" i="49"/>
  <c r="V151" i="49"/>
  <c r="U151" i="49"/>
  <c r="T151" i="49"/>
  <c r="V150" i="49"/>
  <c r="U150" i="49"/>
  <c r="T150" i="49"/>
  <c r="V149" i="49"/>
  <c r="U149" i="49"/>
  <c r="T149" i="49"/>
  <c r="X149" i="49" s="1"/>
  <c r="V148" i="49"/>
  <c r="U148" i="49"/>
  <c r="T148" i="49"/>
  <c r="V147" i="49"/>
  <c r="U147" i="49"/>
  <c r="T147" i="49"/>
  <c r="V146" i="49"/>
  <c r="U146" i="49"/>
  <c r="T146" i="49"/>
  <c r="V145" i="49"/>
  <c r="U145" i="49"/>
  <c r="W145" i="49" s="1"/>
  <c r="T145" i="49"/>
  <c r="X145" i="49" s="1"/>
  <c r="V144" i="49"/>
  <c r="U144" i="49"/>
  <c r="T144" i="49"/>
  <c r="X144" i="49" s="1"/>
  <c r="W143" i="49"/>
  <c r="V143" i="49"/>
  <c r="U143" i="49"/>
  <c r="T143" i="49"/>
  <c r="X143" i="49" s="1"/>
  <c r="V142" i="49"/>
  <c r="U142" i="49"/>
  <c r="T142" i="49"/>
  <c r="X142" i="49" s="1"/>
  <c r="V141" i="49"/>
  <c r="U141" i="49"/>
  <c r="T141" i="49"/>
  <c r="X141" i="49" s="1"/>
  <c r="X216" i="49" s="1"/>
  <c r="Z216" i="49" s="1"/>
  <c r="V140" i="49"/>
  <c r="U140" i="49"/>
  <c r="T140" i="49"/>
  <c r="V139" i="49"/>
  <c r="U139" i="49"/>
  <c r="V138" i="49"/>
  <c r="U138" i="49"/>
  <c r="W138" i="49" s="1"/>
  <c r="T138" i="49"/>
  <c r="X138" i="49" s="1"/>
  <c r="V137" i="49"/>
  <c r="W137" i="49" s="1"/>
  <c r="U137" i="49"/>
  <c r="T137" i="49"/>
  <c r="X137" i="49" s="1"/>
  <c r="V136" i="49"/>
  <c r="U136" i="49"/>
  <c r="W136" i="49" s="1"/>
  <c r="T136" i="49"/>
  <c r="V135" i="49"/>
  <c r="W135" i="49" s="1"/>
  <c r="U135" i="49"/>
  <c r="T135" i="49"/>
  <c r="V134" i="49"/>
  <c r="U134" i="49"/>
  <c r="W134" i="49" s="1"/>
  <c r="T134" i="49"/>
  <c r="V133" i="49"/>
  <c r="W133" i="49" s="1"/>
  <c r="U133" i="49"/>
  <c r="T133" i="49"/>
  <c r="V132" i="49"/>
  <c r="U132" i="49"/>
  <c r="W132" i="49" s="1"/>
  <c r="V131" i="49"/>
  <c r="W131" i="49" s="1"/>
  <c r="U131" i="49"/>
  <c r="V130" i="49"/>
  <c r="U130" i="49"/>
  <c r="T130" i="49"/>
  <c r="V129" i="49"/>
  <c r="U129" i="49"/>
  <c r="V128" i="49"/>
  <c r="U128" i="49"/>
  <c r="W128" i="49" s="1"/>
  <c r="T128" i="49"/>
  <c r="V127" i="49"/>
  <c r="U127" i="49"/>
  <c r="T127" i="49"/>
  <c r="X127" i="49" s="1"/>
  <c r="V126" i="49"/>
  <c r="U126" i="49"/>
  <c r="T126" i="49"/>
  <c r="V125" i="49"/>
  <c r="U125" i="49"/>
  <c r="W125" i="49" s="1"/>
  <c r="T125" i="49"/>
  <c r="X125" i="49" s="1"/>
  <c r="V124" i="49"/>
  <c r="U124" i="49"/>
  <c r="V123" i="49"/>
  <c r="U123" i="49"/>
  <c r="V122" i="49"/>
  <c r="U122" i="49"/>
  <c r="T122" i="49"/>
  <c r="X122" i="49" s="1"/>
  <c r="V121" i="49"/>
  <c r="U121" i="49"/>
  <c r="V120" i="49"/>
  <c r="U120" i="49"/>
  <c r="T120" i="49"/>
  <c r="X120" i="49" s="1"/>
  <c r="V119" i="49"/>
  <c r="U119" i="49"/>
  <c r="T119" i="49"/>
  <c r="V118" i="49"/>
  <c r="U118" i="49"/>
  <c r="W118" i="49" s="1"/>
  <c r="T118" i="49"/>
  <c r="X118" i="49" s="1"/>
  <c r="V117" i="49"/>
  <c r="U117" i="49"/>
  <c r="W117" i="49" s="1"/>
  <c r="T117" i="49"/>
  <c r="V116" i="49"/>
  <c r="U116" i="49"/>
  <c r="W116" i="49" s="1"/>
  <c r="T116" i="49"/>
  <c r="V115" i="49"/>
  <c r="U115" i="49"/>
  <c r="T115" i="49"/>
  <c r="X115" i="49" s="1"/>
  <c r="V114" i="49"/>
  <c r="W114" i="49" s="1"/>
  <c r="U114" i="49"/>
  <c r="T114" i="49"/>
  <c r="X114" i="49" s="1"/>
  <c r="V113" i="49"/>
  <c r="U113" i="49"/>
  <c r="W113" i="49" s="1"/>
  <c r="T113" i="49"/>
  <c r="X113" i="49" s="1"/>
  <c r="V112" i="49"/>
  <c r="U112" i="49"/>
  <c r="T112" i="49"/>
  <c r="X112" i="49" s="1"/>
  <c r="V111" i="49"/>
  <c r="U111" i="49"/>
  <c r="T111" i="49"/>
  <c r="V110" i="49"/>
  <c r="U110" i="49"/>
  <c r="T110" i="49"/>
  <c r="X110" i="49" s="1"/>
  <c r="X220" i="49" s="1"/>
  <c r="V109" i="49"/>
  <c r="U109" i="49"/>
  <c r="V108" i="49"/>
  <c r="U108" i="49"/>
  <c r="T108" i="49"/>
  <c r="X108" i="49" s="1"/>
  <c r="V107" i="49"/>
  <c r="U107" i="49"/>
  <c r="V106" i="49"/>
  <c r="U106" i="49"/>
  <c r="V105" i="49"/>
  <c r="U105" i="49"/>
  <c r="V104" i="49"/>
  <c r="U104" i="49"/>
  <c r="V103" i="49"/>
  <c r="U103" i="49"/>
  <c r="V102" i="49"/>
  <c r="U102" i="49"/>
  <c r="V101" i="49"/>
  <c r="U101" i="49"/>
  <c r="V100" i="49"/>
  <c r="U100" i="49"/>
  <c r="T100" i="49"/>
  <c r="X100" i="49" s="1"/>
  <c r="V99" i="49"/>
  <c r="U99" i="49"/>
  <c r="T99" i="49"/>
  <c r="X99" i="49" s="1"/>
  <c r="V98" i="49"/>
  <c r="U98" i="49"/>
  <c r="T98" i="49"/>
  <c r="X98" i="49" s="1"/>
  <c r="V97" i="49"/>
  <c r="U97" i="49"/>
  <c r="V96" i="49"/>
  <c r="U96" i="49"/>
  <c r="V95" i="49"/>
  <c r="U95" i="49"/>
  <c r="T95" i="49"/>
  <c r="X95" i="49" s="1"/>
  <c r="V94" i="49"/>
  <c r="U94" i="49"/>
  <c r="T94" i="49"/>
  <c r="X94" i="49" s="1"/>
  <c r="V93" i="49"/>
  <c r="U93" i="49"/>
  <c r="T93" i="49"/>
  <c r="X93" i="49" s="1"/>
  <c r="V92" i="49"/>
  <c r="U92" i="49"/>
  <c r="T92" i="49"/>
  <c r="V91" i="49"/>
  <c r="W91" i="49" s="1"/>
  <c r="U91" i="49"/>
  <c r="T91" i="49"/>
  <c r="V90" i="49"/>
  <c r="W90" i="49" s="1"/>
  <c r="U90" i="49"/>
  <c r="T90" i="49"/>
  <c r="X90" i="49" s="1"/>
  <c r="V89" i="49"/>
  <c r="U89" i="49"/>
  <c r="T89" i="49"/>
  <c r="V88" i="49"/>
  <c r="U88" i="49"/>
  <c r="T88" i="49"/>
  <c r="V87" i="49"/>
  <c r="U87" i="49"/>
  <c r="T87" i="49"/>
  <c r="X87" i="49" s="1"/>
  <c r="V86" i="49"/>
  <c r="U86" i="49"/>
  <c r="T86" i="49"/>
  <c r="X86" i="49" s="1"/>
  <c r="V85" i="49"/>
  <c r="U85" i="49"/>
  <c r="V84" i="49"/>
  <c r="U84" i="49"/>
  <c r="T84" i="49"/>
  <c r="X84" i="49" s="1"/>
  <c r="V83" i="49"/>
  <c r="U83" i="49"/>
  <c r="T83" i="49"/>
  <c r="V82" i="49"/>
  <c r="U82" i="49"/>
  <c r="T82" i="49"/>
  <c r="V81" i="49"/>
  <c r="U81" i="49"/>
  <c r="V80" i="49"/>
  <c r="U80" i="49"/>
  <c r="T80" i="49"/>
  <c r="V79" i="49"/>
  <c r="U79" i="49"/>
  <c r="T79" i="49"/>
  <c r="V78" i="49"/>
  <c r="U78" i="49"/>
  <c r="V77" i="49"/>
  <c r="U77" i="49"/>
  <c r="V76" i="49"/>
  <c r="U76" i="49"/>
  <c r="T76" i="49"/>
  <c r="V75" i="49"/>
  <c r="U75" i="49"/>
  <c r="T75" i="49"/>
  <c r="V74" i="49"/>
  <c r="U74" i="49"/>
  <c r="V73" i="49"/>
  <c r="U73" i="49"/>
  <c r="T73" i="49"/>
  <c r="V72" i="49"/>
  <c r="U72" i="49"/>
  <c r="V71" i="49"/>
  <c r="W71" i="49" s="1"/>
  <c r="U71" i="49"/>
  <c r="T71" i="49"/>
  <c r="X71" i="49" s="1"/>
  <c r="V70" i="49"/>
  <c r="W70" i="49" s="1"/>
  <c r="U70" i="49"/>
  <c r="T70" i="49"/>
  <c r="X69" i="49"/>
  <c r="V69" i="49"/>
  <c r="U69" i="49"/>
  <c r="T69" i="49"/>
  <c r="V68" i="49"/>
  <c r="U68" i="49"/>
  <c r="V67" i="49"/>
  <c r="U67" i="49"/>
  <c r="W67" i="49" s="1"/>
  <c r="T67" i="49"/>
  <c r="X67" i="49" s="1"/>
  <c r="V66" i="49"/>
  <c r="U66" i="49"/>
  <c r="V65" i="49"/>
  <c r="U65" i="49"/>
  <c r="V64" i="49"/>
  <c r="U64" i="49"/>
  <c r="T64" i="49"/>
  <c r="X64" i="49" s="1"/>
  <c r="V63" i="49"/>
  <c r="U63" i="49"/>
  <c r="W63" i="49" s="1"/>
  <c r="V62" i="49"/>
  <c r="U62" i="49"/>
  <c r="T62" i="49"/>
  <c r="X62" i="49" s="1"/>
  <c r="V61" i="49"/>
  <c r="U61" i="49"/>
  <c r="T61" i="49"/>
  <c r="V60" i="49"/>
  <c r="U60" i="49"/>
  <c r="W60" i="49" s="1"/>
  <c r="T60" i="49"/>
  <c r="V59" i="49"/>
  <c r="U59" i="49"/>
  <c r="W59" i="49" s="1"/>
  <c r="T59" i="49"/>
  <c r="V58" i="49"/>
  <c r="U58" i="49"/>
  <c r="W58" i="49" s="1"/>
  <c r="V57" i="49"/>
  <c r="U57" i="49"/>
  <c r="V56" i="49"/>
  <c r="U56" i="49"/>
  <c r="T56" i="49"/>
  <c r="V55" i="49"/>
  <c r="U55" i="49"/>
  <c r="T55" i="49"/>
  <c r="V54" i="49"/>
  <c r="U54" i="49"/>
  <c r="V53" i="49"/>
  <c r="U53" i="49"/>
  <c r="T53" i="49"/>
  <c r="V52" i="49"/>
  <c r="U52" i="49"/>
  <c r="T52" i="49"/>
  <c r="X52" i="49" s="1"/>
  <c r="V51" i="49"/>
  <c r="U51" i="49"/>
  <c r="T51" i="49"/>
  <c r="V50" i="49"/>
  <c r="U50" i="49"/>
  <c r="T50" i="49"/>
  <c r="X50" i="49" s="1"/>
  <c r="X219" i="49" s="1"/>
  <c r="Z219" i="49" s="1"/>
  <c r="V49" i="49"/>
  <c r="U49" i="49"/>
  <c r="T49" i="49"/>
  <c r="V48" i="49"/>
  <c r="U48" i="49"/>
  <c r="T48" i="49"/>
  <c r="W47" i="49"/>
  <c r="V47" i="49"/>
  <c r="U47" i="49"/>
  <c r="T47" i="49"/>
  <c r="X47" i="49" s="1"/>
  <c r="V46" i="49"/>
  <c r="U46" i="49"/>
  <c r="T46" i="49"/>
  <c r="V45" i="49"/>
  <c r="U45" i="49"/>
  <c r="T45" i="49"/>
  <c r="X45" i="49" s="1"/>
  <c r="V44" i="49"/>
  <c r="U44" i="49"/>
  <c r="T44" i="49"/>
  <c r="V43" i="49"/>
  <c r="U43" i="49"/>
  <c r="T43" i="49"/>
  <c r="V42" i="49"/>
  <c r="U42" i="49"/>
  <c r="T42" i="49"/>
  <c r="X42" i="49" s="1"/>
  <c r="V41" i="49"/>
  <c r="U41" i="49"/>
  <c r="T41" i="49"/>
  <c r="V40" i="49"/>
  <c r="U40" i="49"/>
  <c r="T40" i="49"/>
  <c r="X40" i="49" s="1"/>
  <c r="V39" i="49"/>
  <c r="U39" i="49"/>
  <c r="T39" i="49"/>
  <c r="X39" i="49" s="1"/>
  <c r="V38" i="49"/>
  <c r="U38" i="49"/>
  <c r="T38" i="49"/>
  <c r="V37" i="49"/>
  <c r="W37" i="49" s="1"/>
  <c r="U37" i="49"/>
  <c r="V36" i="49"/>
  <c r="U36" i="49"/>
  <c r="V35" i="49"/>
  <c r="U35" i="49"/>
  <c r="V34" i="49"/>
  <c r="U34" i="49"/>
  <c r="V33" i="49"/>
  <c r="U33" i="49"/>
  <c r="V32" i="49"/>
  <c r="U32" i="49"/>
  <c r="V31" i="49"/>
  <c r="U31" i="49"/>
  <c r="V30" i="49"/>
  <c r="U30" i="49"/>
  <c r="V29" i="49"/>
  <c r="U29" i="49"/>
  <c r="V28" i="49"/>
  <c r="U28" i="49"/>
  <c r="V27" i="49"/>
  <c r="U27" i="49"/>
  <c r="R23" i="49"/>
  <c r="R208" i="49" s="1"/>
  <c r="O23" i="49"/>
  <c r="N23" i="49"/>
  <c r="M23" i="49"/>
  <c r="M208" i="49" s="1"/>
  <c r="L23" i="49"/>
  <c r="L208" i="49" s="1"/>
  <c r="K23" i="49"/>
  <c r="J23" i="49"/>
  <c r="I23" i="49"/>
  <c r="I208" i="49" s="1"/>
  <c r="H23" i="49"/>
  <c r="H208" i="49" s="1"/>
  <c r="G23" i="49"/>
  <c r="F23" i="49"/>
  <c r="E23" i="49"/>
  <c r="E208" i="49" s="1"/>
  <c r="D23" i="49"/>
  <c r="D208" i="49" s="1"/>
  <c r="V22" i="49"/>
  <c r="U22" i="49"/>
  <c r="V21" i="49"/>
  <c r="U21" i="49"/>
  <c r="T21" i="49"/>
  <c r="X21" i="49" s="1"/>
  <c r="V20" i="49"/>
  <c r="U20" i="49"/>
  <c r="T20" i="49"/>
  <c r="X20" i="49" s="1"/>
  <c r="V19" i="49"/>
  <c r="U19" i="49"/>
  <c r="T19" i="49"/>
  <c r="X19" i="49" s="1"/>
  <c r="V18" i="49"/>
  <c r="U18" i="49"/>
  <c r="T18" i="49"/>
  <c r="V17" i="49"/>
  <c r="U17" i="49"/>
  <c r="T17" i="49"/>
  <c r="X17" i="49" s="1"/>
  <c r="V16" i="49"/>
  <c r="U16" i="49"/>
  <c r="T16" i="49"/>
  <c r="X16" i="49" s="1"/>
  <c r="V15" i="49"/>
  <c r="U15" i="49"/>
  <c r="T15" i="49"/>
  <c r="X15" i="49" s="1"/>
  <c r="V14" i="49"/>
  <c r="U14" i="49"/>
  <c r="T14" i="49"/>
  <c r="V13" i="49"/>
  <c r="U13" i="49"/>
  <c r="T13" i="49"/>
  <c r="X13" i="49" s="1"/>
  <c r="V12" i="49"/>
  <c r="U12" i="49"/>
  <c r="T12" i="49"/>
  <c r="V11" i="49"/>
  <c r="U11" i="49"/>
  <c r="T11" i="49"/>
  <c r="V10" i="49"/>
  <c r="U10" i="49"/>
  <c r="T10" i="49"/>
  <c r="X10" i="49" s="1"/>
  <c r="V9" i="49"/>
  <c r="U9" i="49"/>
  <c r="T9" i="49"/>
  <c r="V8" i="49"/>
  <c r="U8" i="49"/>
  <c r="T8" i="49"/>
  <c r="X8" i="49" s="1"/>
  <c r="W15" i="49" l="1"/>
  <c r="W34" i="49"/>
  <c r="W40" i="49"/>
  <c r="W43" i="49"/>
  <c r="W83" i="49"/>
  <c r="W89" i="49"/>
  <c r="W100" i="49"/>
  <c r="W127" i="49"/>
  <c r="W130" i="49"/>
  <c r="W142" i="49"/>
  <c r="W152" i="49"/>
  <c r="W195" i="49"/>
  <c r="W201" i="49"/>
  <c r="W38" i="49"/>
  <c r="W72" i="49"/>
  <c r="W75" i="49"/>
  <c r="W78" i="49"/>
  <c r="W81" i="49"/>
  <c r="W92" i="49"/>
  <c r="W95" i="49"/>
  <c r="W105" i="49"/>
  <c r="W46" i="49"/>
  <c r="W14" i="49"/>
  <c r="W39" i="49"/>
  <c r="W42" i="49"/>
  <c r="W73" i="49"/>
  <c r="W88" i="49"/>
  <c r="W93" i="49"/>
  <c r="W178" i="49"/>
  <c r="W29" i="49"/>
  <c r="W33" i="49"/>
  <c r="W68" i="49"/>
  <c r="W124" i="49"/>
  <c r="W146" i="49"/>
  <c r="W154" i="49"/>
  <c r="W157" i="49"/>
  <c r="W176" i="49"/>
  <c r="W181" i="49"/>
  <c r="W184" i="49"/>
  <c r="W11" i="49"/>
  <c r="W19" i="49"/>
  <c r="W22" i="49"/>
  <c r="W41" i="49"/>
  <c r="P214" i="49"/>
  <c r="W66" i="49"/>
  <c r="W74" i="49"/>
  <c r="W77" i="49"/>
  <c r="W86" i="49"/>
  <c r="W115" i="49"/>
  <c r="W129" i="49"/>
  <c r="W151" i="49"/>
  <c r="W162" i="49"/>
  <c r="W165" i="49"/>
  <c r="W185" i="49"/>
  <c r="P217" i="49"/>
  <c r="X217" i="49"/>
  <c r="Z217" i="49" s="1"/>
  <c r="W190" i="49"/>
  <c r="W17" i="49"/>
  <c r="P215" i="49"/>
  <c r="W57" i="49"/>
  <c r="W98" i="49"/>
  <c r="W108" i="49"/>
  <c r="W111" i="49"/>
  <c r="W121" i="49"/>
  <c r="W149" i="49"/>
  <c r="W45" i="49"/>
  <c r="W52" i="49"/>
  <c r="W55" i="49"/>
  <c r="W61" i="49"/>
  <c r="W64" i="49"/>
  <c r="W84" i="49"/>
  <c r="W101" i="49"/>
  <c r="W109" i="49"/>
  <c r="W119" i="49"/>
  <c r="W158" i="49"/>
  <c r="W10" i="49"/>
  <c r="W18" i="49"/>
  <c r="W85" i="49"/>
  <c r="W96" i="49"/>
  <c r="W99" i="49"/>
  <c r="W102" i="49"/>
  <c r="W150" i="49"/>
  <c r="W161" i="49"/>
  <c r="W194" i="49"/>
  <c r="W82" i="49"/>
  <c r="W27" i="49"/>
  <c r="W31" i="49"/>
  <c r="W53" i="49"/>
  <c r="W56" i="49"/>
  <c r="W62" i="49"/>
  <c r="W65" i="49"/>
  <c r="W97" i="49"/>
  <c r="W103" i="49"/>
  <c r="W120" i="49"/>
  <c r="W148" i="49"/>
  <c r="W198" i="49"/>
  <c r="P213" i="49"/>
  <c r="P216" i="49"/>
  <c r="X215" i="49"/>
  <c r="T23" i="49"/>
  <c r="V23" i="49"/>
  <c r="W13" i="49"/>
  <c r="W32" i="49"/>
  <c r="W123" i="49"/>
  <c r="W140" i="49"/>
  <c r="T167" i="49"/>
  <c r="W80" i="49"/>
  <c r="W139" i="49"/>
  <c r="I169" i="49"/>
  <c r="W20" i="49"/>
  <c r="W28" i="49"/>
  <c r="X222" i="49"/>
  <c r="Z222" i="49" s="1"/>
  <c r="W50" i="49"/>
  <c r="W173" i="49"/>
  <c r="W199" i="49"/>
  <c r="I206" i="49"/>
  <c r="W12" i="49"/>
  <c r="W36" i="49"/>
  <c r="X167" i="49"/>
  <c r="W49" i="49"/>
  <c r="U23" i="49"/>
  <c r="W16" i="49"/>
  <c r="G208" i="49"/>
  <c r="K208" i="49"/>
  <c r="O208" i="49"/>
  <c r="W35" i="49"/>
  <c r="W48" i="49"/>
  <c r="W69" i="49"/>
  <c r="W76" i="49"/>
  <c r="W79" i="49"/>
  <c r="W94" i="49"/>
  <c r="W104" i="49"/>
  <c r="W106" i="49"/>
  <c r="W112" i="49"/>
  <c r="W122" i="49"/>
  <c r="W126" i="49"/>
  <c r="W141" i="49"/>
  <c r="W144" i="49"/>
  <c r="W147" i="49"/>
  <c r="W155" i="49"/>
  <c r="W159" i="49"/>
  <c r="W163" i="49"/>
  <c r="W166" i="49"/>
  <c r="O169" i="49"/>
  <c r="W182" i="49"/>
  <c r="W186" i="49"/>
  <c r="W189" i="49"/>
  <c r="W192" i="49"/>
  <c r="W196" i="49"/>
  <c r="W200" i="49"/>
  <c r="W203" i="49"/>
  <c r="Z220" i="49"/>
  <c r="X23" i="49"/>
  <c r="X218" i="49"/>
  <c r="Z218" i="49" s="1"/>
  <c r="W171" i="49"/>
  <c r="U204" i="49"/>
  <c r="X226" i="49"/>
  <c r="Z226" i="49" s="1"/>
  <c r="I25" i="49"/>
  <c r="I210" i="49" s="1"/>
  <c r="W164" i="49"/>
  <c r="X224" i="49"/>
  <c r="Z224" i="49" s="1"/>
  <c r="O206" i="49"/>
  <c r="X204" i="49"/>
  <c r="U167" i="49"/>
  <c r="U208" i="49" s="1"/>
  <c r="W8" i="49"/>
  <c r="V204" i="49"/>
  <c r="T204" i="49"/>
  <c r="W9" i="49"/>
  <c r="F208" i="49"/>
  <c r="O25" i="49"/>
  <c r="J208" i="49"/>
  <c r="N208" i="49"/>
  <c r="W21" i="49"/>
  <c r="V167" i="49"/>
  <c r="V208" i="49" s="1"/>
  <c r="W30" i="49"/>
  <c r="W44" i="49"/>
  <c r="W51" i="49"/>
  <c r="W54" i="49"/>
  <c r="W87" i="49"/>
  <c r="W107" i="49"/>
  <c r="W110" i="49"/>
  <c r="W172" i="49"/>
  <c r="U21" i="31"/>
  <c r="U16" i="31"/>
  <c r="U15" i="31"/>
  <c r="O210" i="49" l="1"/>
  <c r="T208" i="49"/>
  <c r="W167" i="49"/>
  <c r="X208" i="49"/>
  <c r="W23" i="49"/>
  <c r="W204" i="49"/>
  <c r="X230" i="49"/>
  <c r="Z215" i="49"/>
  <c r="Z230" i="49" s="1"/>
  <c r="U17" i="31"/>
  <c r="AA230" i="49" l="1"/>
  <c r="X232" i="49"/>
  <c r="P219" i="49"/>
  <c r="P220" i="49" s="1"/>
  <c r="W208" i="49"/>
  <c r="O21" i="31"/>
  <c r="Q52" i="31"/>
  <c r="Q50" i="31"/>
  <c r="Q36" i="31"/>
  <c r="Q26" i="31"/>
  <c r="Q17" i="31"/>
  <c r="Q106" i="31"/>
  <c r="Q99" i="31"/>
  <c r="Q92" i="31"/>
  <c r="Q83" i="31"/>
  <c r="T120" i="31"/>
  <c r="T122" i="31" s="1"/>
  <c r="T106" i="31"/>
  <c r="T99" i="31"/>
  <c r="T92" i="31"/>
  <c r="T83" i="31"/>
  <c r="T71" i="31"/>
  <c r="T52" i="31"/>
  <c r="T50" i="31"/>
  <c r="T36" i="31"/>
  <c r="T26" i="31"/>
  <c r="T17" i="31"/>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D11" i="38"/>
  <c r="D13" i="38" s="1"/>
  <c r="I14" i="46"/>
  <c r="H14" i="46"/>
  <c r="J14" i="46" s="1"/>
  <c r="L14" i="46" s="1"/>
  <c r="I13" i="46"/>
  <c r="H13" i="46"/>
  <c r="J13" i="46" s="1"/>
  <c r="L13" i="46" s="1"/>
  <c r="I12" i="46"/>
  <c r="H12" i="46"/>
  <c r="G13" i="15"/>
  <c r="F13"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D15" i="21"/>
  <c r="F15" i="21" s="1"/>
  <c r="I16" i="31" s="1"/>
  <c r="X16" i="31" s="1"/>
  <c r="D19" i="21"/>
  <c r="F19" i="21" s="1"/>
  <c r="D18" i="21"/>
  <c r="F18" i="21" s="1"/>
  <c r="D12" i="21"/>
  <c r="F12" i="21" s="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K17" i="31"/>
  <c r="J17" i="31"/>
  <c r="AA41" i="4"/>
  <c r="Y41" i="4"/>
  <c r="W41" i="4"/>
  <c r="R41" i="4"/>
  <c r="P41" i="4"/>
  <c r="M41" i="4"/>
  <c r="K41" i="4"/>
  <c r="J41" i="4"/>
  <c r="G41" i="4"/>
  <c r="F41" i="4"/>
  <c r="E41" i="4"/>
  <c r="D41" i="4"/>
  <c r="AC40" i="4"/>
  <c r="F38" i="1" s="1"/>
  <c r="AC37" i="4"/>
  <c r="F35" i="1" s="1"/>
  <c r="AC27" i="4"/>
  <c r="F25" i="1" s="1"/>
  <c r="H25" i="1" s="1"/>
  <c r="L25" i="1" s="1"/>
  <c r="AA15" i="4"/>
  <c r="Y15" i="4"/>
  <c r="X15" i="4"/>
  <c r="W15" i="4"/>
  <c r="M15" i="4"/>
  <c r="K15" i="4"/>
  <c r="J15" i="4"/>
  <c r="E15" i="4"/>
  <c r="R13" i="4"/>
  <c r="L15" i="4"/>
  <c r="D33" i="2"/>
  <c r="J39" i="1"/>
  <c r="D36" i="1"/>
  <c r="D35" i="1"/>
  <c r="D34" i="1"/>
  <c r="D33" i="1"/>
  <c r="I14" i="15" l="1"/>
  <c r="S29" i="4"/>
  <c r="U29" i="4"/>
  <c r="T29" i="4"/>
  <c r="F21" i="21"/>
  <c r="G24" i="31"/>
  <c r="G158" i="31"/>
  <c r="F17" i="31"/>
  <c r="S84" i="31"/>
  <c r="G115" i="31"/>
  <c r="G33" i="31"/>
  <c r="Y33" i="31" s="1"/>
  <c r="G89" i="31"/>
  <c r="G96" i="31"/>
  <c r="G98" i="31"/>
  <c r="G143" i="31"/>
  <c r="Y143" i="31" s="1"/>
  <c r="G145" i="31"/>
  <c r="G153" i="31"/>
  <c r="H18" i="21"/>
  <c r="C18" i="47"/>
  <c r="C16" i="47"/>
  <c r="Q35" i="4"/>
  <c r="M84" i="31"/>
  <c r="I84" i="31"/>
  <c r="G166" i="31"/>
  <c r="G16" i="31"/>
  <c r="Y16" i="31" s="1"/>
  <c r="J27" i="31"/>
  <c r="J53" i="31" s="1"/>
  <c r="N27" i="31"/>
  <c r="N53" i="31" s="1"/>
  <c r="G35" i="31"/>
  <c r="Y35" i="31" s="1"/>
  <c r="G52" i="31"/>
  <c r="D17" i="1" s="1"/>
  <c r="G68" i="31"/>
  <c r="G69" i="31"/>
  <c r="Y69" i="31" s="1"/>
  <c r="G175" i="31"/>
  <c r="G31" i="31"/>
  <c r="Y31" i="31" s="1"/>
  <c r="O84" i="31"/>
  <c r="F29" i="18"/>
  <c r="J104" i="31" s="1"/>
  <c r="J106" i="31" s="1"/>
  <c r="G129" i="31"/>
  <c r="G164" i="31"/>
  <c r="G23" i="4"/>
  <c r="L96" i="31"/>
  <c r="I13" i="6"/>
  <c r="K13" i="6" s="1"/>
  <c r="J84" i="31"/>
  <c r="G156" i="31"/>
  <c r="I30" i="6"/>
  <c r="K30" i="6" s="1"/>
  <c r="G75" i="31"/>
  <c r="G80" i="31"/>
  <c r="G87" i="31"/>
  <c r="Y87" i="31" s="1"/>
  <c r="G114" i="31"/>
  <c r="G116" i="31"/>
  <c r="G121" i="31"/>
  <c r="Y121" i="31" s="1"/>
  <c r="G130" i="31"/>
  <c r="Y130" i="31" s="1"/>
  <c r="G154" i="31"/>
  <c r="R60" i="31"/>
  <c r="R71" i="31" s="1"/>
  <c r="R84" i="31" s="1"/>
  <c r="V84" i="31"/>
  <c r="V149" i="31" s="1"/>
  <c r="G132" i="31"/>
  <c r="Y132" i="31" s="1"/>
  <c r="G133" i="31"/>
  <c r="I32" i="6"/>
  <c r="K32" i="6" s="1"/>
  <c r="L32" i="6" s="1"/>
  <c r="N32" i="6" s="1"/>
  <c r="M12" i="41"/>
  <c r="M14" i="41"/>
  <c r="G21" i="31"/>
  <c r="D11"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AA29" i="4"/>
  <c r="AA31" i="4" s="1"/>
  <c r="L19" i="4"/>
  <c r="O52" i="31" s="1"/>
  <c r="X29" i="4"/>
  <c r="L92" i="31"/>
  <c r="H35" i="1"/>
  <c r="L35" i="1" s="1"/>
  <c r="K52" i="6"/>
  <c r="L52" i="6"/>
  <c r="N52" i="6" s="1"/>
  <c r="P52" i="6" s="1"/>
  <c r="H15" i="46"/>
  <c r="J12" i="46"/>
  <c r="K27" i="31"/>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H43" i="4" s="1"/>
  <c r="H36" i="6"/>
  <c r="AC13" i="4"/>
  <c r="F11"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I13" i="15"/>
  <c r="I15" i="15" s="1"/>
  <c r="M25" i="4" s="1"/>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W25" i="61" l="1"/>
  <c r="T31" i="4"/>
  <c r="T32" i="4" s="1"/>
  <c r="H26" i="66"/>
  <c r="U31" i="4"/>
  <c r="U32" i="4" s="1"/>
  <c r="H27" i="66"/>
  <c r="S31" i="4"/>
  <c r="S32" i="4" s="1"/>
  <c r="H25" i="66"/>
  <c r="O29" i="4"/>
  <c r="R142" i="31" s="1"/>
  <c r="R148" i="31" s="1"/>
  <c r="R149" i="31" s="1"/>
  <c r="R150" i="31" s="1"/>
  <c r="AC23" i="4"/>
  <c r="F21" i="1" s="1"/>
  <c r="F8" i="26"/>
  <c r="AA32" i="4"/>
  <c r="Y32" i="4"/>
  <c r="H12" i="21"/>
  <c r="H21" i="21" s="1"/>
  <c r="J27" i="36" s="1"/>
  <c r="L28" i="36" s="1"/>
  <c r="W150" i="31"/>
  <c r="F27" i="31"/>
  <c r="F53" i="31" s="1"/>
  <c r="G17" i="31"/>
  <c r="D10" i="1" s="1"/>
  <c r="Y21" i="31"/>
  <c r="H11" i="1"/>
  <c r="L11" i="1" s="1"/>
  <c r="Y145" i="31"/>
  <c r="Y113" i="31"/>
  <c r="G185" i="31"/>
  <c r="C19" i="47"/>
  <c r="C20" i="47" s="1"/>
  <c r="Q38" i="4" s="1"/>
  <c r="F18" i="65" s="1"/>
  <c r="E16" i="47"/>
  <c r="T127" i="31" s="1"/>
  <c r="T134" i="31" s="1"/>
  <c r="C17" i="47"/>
  <c r="Q36" i="4" s="1"/>
  <c r="X104" i="31"/>
  <c r="X106" i="31" s="1"/>
  <c r="L30" i="6"/>
  <c r="N30" i="6" s="1"/>
  <c r="P30" i="6" s="1"/>
  <c r="I15" i="6"/>
  <c r="Y78" i="31"/>
  <c r="V150" i="31"/>
  <c r="Y147" i="31"/>
  <c r="Y133" i="31"/>
  <c r="X342" i="34"/>
  <c r="L13" i="6"/>
  <c r="N13" i="6" s="1"/>
  <c r="P13" i="6" s="1"/>
  <c r="Y129" i="31"/>
  <c r="P27" i="6"/>
  <c r="Y70" i="31"/>
  <c r="E27" i="31"/>
  <c r="E53" i="31" s="1"/>
  <c r="G29" i="4"/>
  <c r="E24" i="4"/>
  <c r="X96" i="31"/>
  <c r="L99" i="31"/>
  <c r="G148" i="31"/>
  <c r="D27" i="1" s="1"/>
  <c r="Y64" i="31"/>
  <c r="P26" i="6"/>
  <c r="N74" i="31" s="1"/>
  <c r="X74" i="31" s="1"/>
  <c r="Y74" i="31" s="1"/>
  <c r="O26" i="6"/>
  <c r="L21" i="6"/>
  <c r="N21" i="6" s="1"/>
  <c r="P21" i="6" s="1"/>
  <c r="N60" i="31" s="1"/>
  <c r="O53" i="31"/>
  <c r="P23" i="6"/>
  <c r="N63" i="31" s="1"/>
  <c r="X63" i="31" s="1"/>
  <c r="Y63" i="31" s="1"/>
  <c r="O23" i="6"/>
  <c r="N44" i="6"/>
  <c r="P44" i="6" s="1"/>
  <c r="N56" i="6"/>
  <c r="P56" i="6" s="1"/>
  <c r="Y105" i="31"/>
  <c r="I36" i="6"/>
  <c r="E84" i="31"/>
  <c r="E149" i="31" s="1"/>
  <c r="I30" i="31"/>
  <c r="I36" i="31" s="1"/>
  <c r="K36" i="6"/>
  <c r="J15" i="46"/>
  <c r="L12" i="46"/>
  <c r="L15" i="46" s="1"/>
  <c r="Y77" i="31"/>
  <c r="G36" i="31"/>
  <c r="D16"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0" i="1" s="1"/>
  <c r="G106" i="31"/>
  <c r="D22" i="1" s="1"/>
  <c r="N55" i="6"/>
  <c r="P55" i="6" s="1"/>
  <c r="N88" i="31" s="1"/>
  <c r="O57" i="6"/>
  <c r="O30" i="6"/>
  <c r="N20" i="6"/>
  <c r="N46" i="6"/>
  <c r="P46" i="6" s="1"/>
  <c r="G12" i="5"/>
  <c r="G18" i="5" s="1"/>
  <c r="D26" i="1"/>
  <c r="Y146" i="31"/>
  <c r="F84" i="31"/>
  <c r="P111" i="31"/>
  <c r="M29" i="4"/>
  <c r="L61" i="6"/>
  <c r="N39" i="6"/>
  <c r="O25" i="6"/>
  <c r="P25" i="6"/>
  <c r="G120" i="31"/>
  <c r="G122" i="31" s="1"/>
  <c r="D23" i="1" s="1"/>
  <c r="Y118" i="31"/>
  <c r="G99" i="31"/>
  <c r="D21"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4" i="1" s="1"/>
  <c r="G26" i="31"/>
  <c r="Y20" i="31"/>
  <c r="M16" i="41"/>
  <c r="N47" i="6"/>
  <c r="P47" i="6" s="1"/>
  <c r="N75" i="31" s="1"/>
  <c r="X75" i="31" s="1"/>
  <c r="Y75" i="31" s="1"/>
  <c r="O34" i="6"/>
  <c r="P34" i="6"/>
  <c r="J116" i="31"/>
  <c r="E25" i="4"/>
  <c r="O52" i="6"/>
  <c r="O40" i="6"/>
  <c r="O50" i="6"/>
  <c r="O28" i="6"/>
  <c r="P28" i="6"/>
  <c r="N80" i="31" s="1"/>
  <c r="X80" i="31" s="1"/>
  <c r="Y80" i="31" s="1"/>
  <c r="O42" i="6"/>
  <c r="Y102" i="31"/>
  <c r="O41" i="6"/>
  <c r="G83" i="31"/>
  <c r="Y22" i="31"/>
  <c r="Y62" i="31"/>
  <c r="D18"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Y25" i="61" l="1"/>
  <c r="W35" i="61"/>
  <c r="W42" i="61" s="1"/>
  <c r="H18" i="65"/>
  <c r="F20" i="65"/>
  <c r="H21" i="1"/>
  <c r="L21" i="1" s="1"/>
  <c r="J25" i="66"/>
  <c r="N25" i="66" s="1"/>
  <c r="L25" i="66"/>
  <c r="P25" i="66" s="1"/>
  <c r="R25" i="66" s="1"/>
  <c r="J27" i="66"/>
  <c r="N27" i="66" s="1"/>
  <c r="L27" i="66"/>
  <c r="P27" i="66" s="1"/>
  <c r="R27" i="66" s="1"/>
  <c r="J26" i="66"/>
  <c r="N26" i="66" s="1"/>
  <c r="L26" i="66"/>
  <c r="P26" i="66" s="1"/>
  <c r="R26" i="66" s="1"/>
  <c r="M31" i="4"/>
  <c r="H19" i="66"/>
  <c r="O31" i="4"/>
  <c r="O32" i="4" s="1"/>
  <c r="H21" i="66"/>
  <c r="G31" i="4"/>
  <c r="G32" i="4" s="1"/>
  <c r="H14" i="66"/>
  <c r="L16" i="13"/>
  <c r="E20" i="13"/>
  <c r="E21" i="13" s="1"/>
  <c r="L21" i="13" s="1"/>
  <c r="AC24" i="4"/>
  <c r="F22" i="1" s="1"/>
  <c r="H22" i="1" s="1"/>
  <c r="L22" i="1" s="1"/>
  <c r="E29" i="4"/>
  <c r="P27" i="61"/>
  <c r="P16" i="61"/>
  <c r="O58" i="6"/>
  <c r="O44" i="6"/>
  <c r="C23" i="47"/>
  <c r="Q26" i="4"/>
  <c r="Q41" i="4"/>
  <c r="E124" i="31"/>
  <c r="X344" i="34"/>
  <c r="D16" i="4"/>
  <c r="L142" i="31"/>
  <c r="L148" i="31" s="1"/>
  <c r="L149" i="31" s="1"/>
  <c r="L150" i="31" s="1"/>
  <c r="Y104" i="31"/>
  <c r="Y106" i="31" s="1"/>
  <c r="N76" i="31"/>
  <c r="X76" i="31" s="1"/>
  <c r="Y76" i="31" s="1"/>
  <c r="J11" i="6"/>
  <c r="K11" i="6" s="1"/>
  <c r="O59" i="6"/>
  <c r="M28" i="36"/>
  <c r="F15" i="4" s="1"/>
  <c r="F19" i="4" s="1"/>
  <c r="K52" i="31" s="1"/>
  <c r="N68" i="31"/>
  <c r="X68" i="31" s="1"/>
  <c r="Y68" i="31" s="1"/>
  <c r="O21" i="6"/>
  <c r="X99" i="31"/>
  <c r="Y96" i="31"/>
  <c r="Y99" i="31" s="1"/>
  <c r="O56" i="6"/>
  <c r="O46" i="6"/>
  <c r="O43" i="6"/>
  <c r="L36" i="6"/>
  <c r="L48" i="36"/>
  <c r="E150" i="31"/>
  <c r="E186" i="31" s="1"/>
  <c r="O13" i="6"/>
  <c r="O60" i="6"/>
  <c r="O51" i="6"/>
  <c r="Q60" i="31"/>
  <c r="Q71" i="31" s="1"/>
  <c r="Q84" i="31" s="1"/>
  <c r="N21" i="4"/>
  <c r="L17" i="46"/>
  <c r="L16" i="46"/>
  <c r="D19" i="32"/>
  <c r="D38" i="1"/>
  <c r="O139" i="31"/>
  <c r="N61" i="6"/>
  <c r="P39" i="6"/>
  <c r="O20" i="6"/>
  <c r="P20" i="6"/>
  <c r="N36" i="6"/>
  <c r="X116" i="31"/>
  <c r="Y116" i="31" s="1"/>
  <c r="J120" i="31"/>
  <c r="J122" i="31" s="1"/>
  <c r="O54" i="6"/>
  <c r="O39" i="6"/>
  <c r="G25" i="5"/>
  <c r="O47" i="6"/>
  <c r="D12" i="1"/>
  <c r="G27" i="31"/>
  <c r="G84" i="31"/>
  <c r="O48" i="6"/>
  <c r="N89" i="31"/>
  <c r="X89" i="31" s="1"/>
  <c r="Y89" i="31" s="1"/>
  <c r="O53" i="6"/>
  <c r="P120" i="31"/>
  <c r="P122" i="31" s="1"/>
  <c r="X111" i="31"/>
  <c r="Y111" i="31" s="1"/>
  <c r="D19" i="4"/>
  <c r="I52" i="31" s="1"/>
  <c r="I53" i="31" s="1"/>
  <c r="D15" i="4"/>
  <c r="X88" i="31"/>
  <c r="Y88" i="31" s="1"/>
  <c r="F149" i="31"/>
  <c r="F150" i="31" s="1"/>
  <c r="F186" i="31" s="1"/>
  <c r="F124" i="31"/>
  <c r="O55" i="6"/>
  <c r="O45" i="6"/>
  <c r="P14" i="4"/>
  <c r="S24" i="31"/>
  <c r="P142" i="31"/>
  <c r="P148" i="31" s="1"/>
  <c r="N81" i="31"/>
  <c r="X81" i="31" s="1"/>
  <c r="Y81" i="31" s="1"/>
  <c r="N114" i="31"/>
  <c r="N71" i="6"/>
  <c r="N85" i="6" s="1"/>
  <c r="L85" i="6"/>
  <c r="T27" i="66" l="1"/>
  <c r="T26" i="66"/>
  <c r="J18" i="65"/>
  <c r="H20" i="65"/>
  <c r="T25" i="66"/>
  <c r="J14" i="66"/>
  <c r="N14" i="66" s="1"/>
  <c r="L14" i="66"/>
  <c r="P14" i="66" s="1"/>
  <c r="R14" i="66" s="1"/>
  <c r="J21" i="66"/>
  <c r="N21" i="66" s="1"/>
  <c r="L21" i="66"/>
  <c r="P21" i="66" s="1"/>
  <c r="R21" i="66" s="1"/>
  <c r="J19" i="66"/>
  <c r="N19" i="66" s="1"/>
  <c r="L19" i="66"/>
  <c r="P19" i="66" s="1"/>
  <c r="R19" i="66" s="1"/>
  <c r="E31" i="4"/>
  <c r="E32" i="4" s="1"/>
  <c r="H12" i="66"/>
  <c r="J142" i="31"/>
  <c r="J148" i="31" s="1"/>
  <c r="J149" i="31" s="1"/>
  <c r="J150" i="31" s="1"/>
  <c r="N92" i="31"/>
  <c r="M11" i="6"/>
  <c r="Y83" i="31"/>
  <c r="O36" i="6"/>
  <c r="L11" i="6"/>
  <c r="L15" i="6" s="1"/>
  <c r="K15" i="6"/>
  <c r="N25" i="4"/>
  <c r="Q114" i="31"/>
  <c r="Q120" i="31" s="1"/>
  <c r="Q122" i="31" s="1"/>
  <c r="L19" i="46"/>
  <c r="N28" i="4"/>
  <c r="Q139" i="31"/>
  <c r="E22" i="13"/>
  <c r="X60" i="31"/>
  <c r="Y60" i="31" s="1"/>
  <c r="O61" i="6"/>
  <c r="D13" i="1"/>
  <c r="M32" i="4"/>
  <c r="S26" i="31"/>
  <c r="S27" i="31" s="1"/>
  <c r="X24" i="31"/>
  <c r="X83" i="31"/>
  <c r="G124" i="31"/>
  <c r="D19" i="1"/>
  <c r="D29" i="1" s="1"/>
  <c r="G149" i="31"/>
  <c r="X15" i="31"/>
  <c r="P36" i="6"/>
  <c r="N56" i="31"/>
  <c r="G53" i="31"/>
  <c r="D9" i="2"/>
  <c r="P61" i="6"/>
  <c r="N61" i="31"/>
  <c r="F18" i="13"/>
  <c r="F23" i="13" s="1"/>
  <c r="E19" i="13"/>
  <c r="O127" i="31"/>
  <c r="P149" i="31"/>
  <c r="P150" i="31" s="1"/>
  <c r="N83" i="31"/>
  <c r="P15" i="4"/>
  <c r="AC14" i="4"/>
  <c r="AC35" i="4"/>
  <c r="R15" i="4"/>
  <c r="AC12" i="4"/>
  <c r="F10" i="1" s="1"/>
  <c r="H10" i="1" s="1"/>
  <c r="H38" i="1"/>
  <c r="L38" i="1" s="1"/>
  <c r="D39" i="1"/>
  <c r="O71" i="6"/>
  <c r="T19" i="66" l="1"/>
  <c r="E25" i="13"/>
  <c r="T14" i="66"/>
  <c r="L18" i="65"/>
  <c r="L20" i="65" s="1"/>
  <c r="X38" i="4" s="1"/>
  <c r="AC38" i="4" s="1"/>
  <c r="F36" i="1" s="1"/>
  <c r="H36" i="1" s="1"/>
  <c r="L36" i="1" s="1"/>
  <c r="J20" i="65"/>
  <c r="T21" i="66"/>
  <c r="J12" i="66"/>
  <c r="N12" i="66" s="1"/>
  <c r="L12" i="66"/>
  <c r="P12" i="66" s="1"/>
  <c r="R12" i="66" s="1"/>
  <c r="D22" i="4"/>
  <c r="D29" i="4" s="1"/>
  <c r="F9" i="2"/>
  <c r="AC36" i="4"/>
  <c r="F34" i="1" s="1"/>
  <c r="H34" i="1" s="1"/>
  <c r="L34" i="1" s="1"/>
  <c r="L19" i="13"/>
  <c r="K10" i="61"/>
  <c r="R10" i="61" s="1"/>
  <c r="R19" i="61" s="1"/>
  <c r="P25" i="61"/>
  <c r="P14" i="61"/>
  <c r="P29" i="61"/>
  <c r="N29" i="4"/>
  <c r="N11" i="6"/>
  <c r="O11" i="6" s="1"/>
  <c r="D30" i="1"/>
  <c r="G150" i="31"/>
  <c r="G186" i="31" s="1"/>
  <c r="X114" i="31"/>
  <c r="Y114" i="31" s="1"/>
  <c r="F12" i="1"/>
  <c r="AC15" i="4"/>
  <c r="X56" i="31"/>
  <c r="Y56" i="31" s="1"/>
  <c r="R22" i="4"/>
  <c r="R19" i="4"/>
  <c r="L41" i="4"/>
  <c r="X127" i="31"/>
  <c r="O134" i="31"/>
  <c r="X61" i="31"/>
  <c r="N71" i="31"/>
  <c r="N84" i="31" s="1"/>
  <c r="AC21" i="4" s="1"/>
  <c r="F19" i="1" s="1"/>
  <c r="H19" i="1" s="1"/>
  <c r="L19" i="1" s="1"/>
  <c r="L22" i="4"/>
  <c r="D13" i="2"/>
  <c r="D17" i="2" s="1"/>
  <c r="D19" i="2" s="1"/>
  <c r="D21" i="2" s="1"/>
  <c r="D23" i="2" s="1"/>
  <c r="D26" i="2" s="1"/>
  <c r="F22" i="4"/>
  <c r="Y24" i="31"/>
  <c r="Y26" i="31" s="1"/>
  <c r="X26" i="31"/>
  <c r="P19" i="4"/>
  <c r="P22" i="4"/>
  <c r="F33" i="1"/>
  <c r="Y15" i="31"/>
  <c r="Y17" i="31" s="1"/>
  <c r="X17" i="31"/>
  <c r="O85" i="6"/>
  <c r="P71" i="6"/>
  <c r="P85" i="6" s="1"/>
  <c r="N109" i="31" s="1"/>
  <c r="T12" i="66" l="1"/>
  <c r="I90" i="31"/>
  <c r="I92" i="31" s="1"/>
  <c r="N31" i="4"/>
  <c r="H20" i="66"/>
  <c r="AI7" i="61"/>
  <c r="AC13" i="61" s="1"/>
  <c r="S43" i="4"/>
  <c r="T43" i="4"/>
  <c r="U43" i="4"/>
  <c r="D31" i="4"/>
  <c r="D32" i="4" s="1"/>
  <c r="H11" i="66"/>
  <c r="F13" i="2"/>
  <c r="F17" i="2" s="1"/>
  <c r="Q22" i="4"/>
  <c r="Q29" i="4" s="1"/>
  <c r="K19" i="61"/>
  <c r="K35" i="61" s="1"/>
  <c r="K42" i="61" s="1"/>
  <c r="AK20" i="61" s="1"/>
  <c r="AK22" i="61" s="1"/>
  <c r="D8" i="62"/>
  <c r="D10" i="62" s="1"/>
  <c r="D15" i="62" s="1"/>
  <c r="I142" i="31"/>
  <c r="I148" i="31" s="1"/>
  <c r="I149" i="31" s="1"/>
  <c r="I150" i="31" s="1"/>
  <c r="R24" i="61"/>
  <c r="R35" i="61" s="1"/>
  <c r="AA35" i="61"/>
  <c r="D40" i="1"/>
  <c r="I10" i="61"/>
  <c r="P10" i="61" s="1"/>
  <c r="AC26" i="4"/>
  <c r="F24" i="1" s="1"/>
  <c r="H24" i="1" s="1"/>
  <c r="L24" i="1" s="1"/>
  <c r="F27" i="65" s="1"/>
  <c r="U90" i="31"/>
  <c r="U92" i="31" s="1"/>
  <c r="S90" i="31"/>
  <c r="S92" i="31" s="1"/>
  <c r="M37" i="61"/>
  <c r="T29" i="61"/>
  <c r="AC30" i="61"/>
  <c r="AC15" i="61"/>
  <c r="AC26" i="61"/>
  <c r="AC28" i="61"/>
  <c r="AC27" i="61"/>
  <c r="AC14" i="61"/>
  <c r="AC25" i="61"/>
  <c r="I15" i="64" s="1"/>
  <c r="M27" i="61"/>
  <c r="M16" i="61"/>
  <c r="T16" i="61"/>
  <c r="M14" i="61"/>
  <c r="M25" i="61"/>
  <c r="T25" i="61"/>
  <c r="R29" i="4"/>
  <c r="P29" i="4"/>
  <c r="Y27" i="31"/>
  <c r="P11" i="6"/>
  <c r="P15" i="6" s="1"/>
  <c r="P17" i="6" s="1"/>
  <c r="N15" i="6"/>
  <c r="L29" i="4"/>
  <c r="AC20" i="4"/>
  <c r="F18" i="1" s="1"/>
  <c r="H18" i="1" s="1"/>
  <c r="L18" i="1" s="1"/>
  <c r="X27" i="31"/>
  <c r="Q142" i="31"/>
  <c r="Q148" i="31" s="1"/>
  <c r="Q149" i="31" s="1"/>
  <c r="Q150" i="31" s="1"/>
  <c r="G43" i="4"/>
  <c r="O43" i="4"/>
  <c r="X134" i="31"/>
  <c r="Y127" i="31"/>
  <c r="Y134" i="31" s="1"/>
  <c r="E43" i="4"/>
  <c r="O90" i="31"/>
  <c r="O92" i="31" s="1"/>
  <c r="M43" i="4"/>
  <c r="AC22" i="4"/>
  <c r="F20" i="1" s="1"/>
  <c r="H33" i="1"/>
  <c r="F26" i="65" s="1"/>
  <c r="S52" i="31"/>
  <c r="AC19" i="4"/>
  <c r="F17" i="1" s="1"/>
  <c r="H17" i="1" s="1"/>
  <c r="K90" i="31"/>
  <c r="Y61" i="31"/>
  <c r="Y71" i="31" s="1"/>
  <c r="Y84" i="31" s="1"/>
  <c r="X71" i="31"/>
  <c r="X84" i="31" s="1"/>
  <c r="U52" i="31"/>
  <c r="U53" i="31" s="1"/>
  <c r="H12" i="1"/>
  <c r="F13" i="1"/>
  <c r="N120" i="31"/>
  <c r="N122" i="31" s="1"/>
  <c r="X109" i="31"/>
  <c r="M29" i="61" l="1"/>
  <c r="AC23" i="61"/>
  <c r="AC16" i="61"/>
  <c r="AC24" i="61"/>
  <c r="I11" i="64" s="1"/>
  <c r="T10" i="61"/>
  <c r="P31" i="4"/>
  <c r="P32" i="4" s="1"/>
  <c r="H22" i="66"/>
  <c r="R31" i="4"/>
  <c r="H24" i="66"/>
  <c r="Q31" i="4"/>
  <c r="Q32" i="4" s="1"/>
  <c r="Q43" i="4" s="1"/>
  <c r="H23" i="66"/>
  <c r="T142" i="31"/>
  <c r="T148" i="31" s="1"/>
  <c r="T149" i="31" s="1"/>
  <c r="T150" i="31" s="1"/>
  <c r="T32" i="61"/>
  <c r="M32" i="61"/>
  <c r="T31" i="61"/>
  <c r="AC33" i="61"/>
  <c r="I14" i="64" s="1"/>
  <c r="AC32" i="61"/>
  <c r="I13" i="64" s="1"/>
  <c r="M33" i="61"/>
  <c r="T33" i="61"/>
  <c r="M31" i="61"/>
  <c r="AC31" i="61"/>
  <c r="I12" i="64" s="1"/>
  <c r="J11" i="66"/>
  <c r="N11" i="66" s="1"/>
  <c r="L11" i="66"/>
  <c r="P11" i="66" s="1"/>
  <c r="R11" i="66" s="1"/>
  <c r="F19" i="2"/>
  <c r="F21" i="2" s="1"/>
  <c r="F23" i="2" s="1"/>
  <c r="F26" i="2" s="1"/>
  <c r="J20" i="66"/>
  <c r="N20" i="66" s="1"/>
  <c r="L20" i="66"/>
  <c r="P20" i="66" s="1"/>
  <c r="R20" i="66" s="1"/>
  <c r="T27" i="61"/>
  <c r="AC29" i="61"/>
  <c r="T14" i="61"/>
  <c r="D42" i="1"/>
  <c r="D18" i="62"/>
  <c r="D20" i="62" s="1"/>
  <c r="D25" i="62" s="1"/>
  <c r="E25" i="62" s="1"/>
  <c r="M10" i="61"/>
  <c r="F28" i="65"/>
  <c r="N10" i="65" s="1"/>
  <c r="N17" i="65" s="1"/>
  <c r="L31" i="4"/>
  <c r="H18" i="66"/>
  <c r="AC19" i="61"/>
  <c r="D43" i="4"/>
  <c r="U142" i="31"/>
  <c r="U148" i="31" s="1"/>
  <c r="U149" i="31" s="1"/>
  <c r="U150" i="31" s="1"/>
  <c r="AC28" i="4"/>
  <c r="F26" i="1" s="1"/>
  <c r="H26" i="1" s="1"/>
  <c r="L26" i="1" s="1"/>
  <c r="N139" i="31"/>
  <c r="X139" i="31" s="1"/>
  <c r="Y139" i="31" s="1"/>
  <c r="O142" i="31"/>
  <c r="O148" i="31" s="1"/>
  <c r="O149" i="31" s="1"/>
  <c r="O150" i="31" s="1"/>
  <c r="H20" i="1"/>
  <c r="N32" i="4"/>
  <c r="S142" i="31"/>
  <c r="S148" i="31" s="1"/>
  <c r="S149" i="31" s="1"/>
  <c r="K92" i="31"/>
  <c r="X90" i="31"/>
  <c r="L33" i="1"/>
  <c r="L12" i="1"/>
  <c r="H13" i="1"/>
  <c r="X52" i="31"/>
  <c r="S53" i="31"/>
  <c r="Y109" i="31"/>
  <c r="Y120" i="31" s="1"/>
  <c r="Y122" i="31" s="1"/>
  <c r="X120" i="31"/>
  <c r="X122" i="31" s="1"/>
  <c r="T11" i="66" l="1"/>
  <c r="P10" i="65"/>
  <c r="T20" i="66"/>
  <c r="AJ7" i="61"/>
  <c r="F15" i="26"/>
  <c r="AA43" i="4"/>
  <c r="Y43" i="4"/>
  <c r="J23" i="66"/>
  <c r="N23" i="66" s="1"/>
  <c r="L23" i="66"/>
  <c r="P23" i="66" s="1"/>
  <c r="R23" i="66" s="1"/>
  <c r="J24" i="66"/>
  <c r="N24" i="66" s="1"/>
  <c r="L24" i="66"/>
  <c r="P24" i="66" s="1"/>
  <c r="R24" i="66" s="1"/>
  <c r="J22" i="66"/>
  <c r="N22" i="66" s="1"/>
  <c r="L22" i="66"/>
  <c r="P22" i="66" s="1"/>
  <c r="R22" i="66" s="1"/>
  <c r="J18" i="66"/>
  <c r="N18" i="66" s="1"/>
  <c r="L18" i="66"/>
  <c r="P18" i="66" s="1"/>
  <c r="R18" i="66" s="1"/>
  <c r="P17" i="65"/>
  <c r="N18" i="65"/>
  <c r="P18" i="65" s="1"/>
  <c r="F25" i="62"/>
  <c r="P43" i="4"/>
  <c r="M13" i="61"/>
  <c r="P13" i="61"/>
  <c r="N43" i="4"/>
  <c r="K29" i="4"/>
  <c r="L32" i="4"/>
  <c r="R32" i="4"/>
  <c r="S150" i="31"/>
  <c r="Y52" i="31"/>
  <c r="Y90" i="31"/>
  <c r="Y92" i="31" s="1"/>
  <c r="X92" i="31"/>
  <c r="F19" i="26"/>
  <c r="AC25" i="4"/>
  <c r="T22" i="66" l="1"/>
  <c r="T23" i="66"/>
  <c r="AC39" i="61"/>
  <c r="I22" i="64" s="1"/>
  <c r="T39" i="61"/>
  <c r="K31" i="4"/>
  <c r="K32" i="4" s="1"/>
  <c r="H17" i="66"/>
  <c r="T24" i="66"/>
  <c r="P20" i="65"/>
  <c r="X30" i="4" s="1"/>
  <c r="T18" i="66"/>
  <c r="G25" i="62"/>
  <c r="P26" i="61"/>
  <c r="T26" i="61" s="1"/>
  <c r="M26" i="61"/>
  <c r="P28" i="61"/>
  <c r="T28" i="61" s="1"/>
  <c r="M28" i="61"/>
  <c r="T13" i="61"/>
  <c r="R43" i="4"/>
  <c r="L43" i="4"/>
  <c r="N142" i="31"/>
  <c r="F23" i="1"/>
  <c r="J17" i="66" l="1"/>
  <c r="N17" i="66" s="1"/>
  <c r="L17" i="66"/>
  <c r="P17" i="66" s="1"/>
  <c r="R17" i="66" s="1"/>
  <c r="D27" i="62"/>
  <c r="D28" i="62" s="1"/>
  <c r="D30" i="62" s="1"/>
  <c r="X39" i="4"/>
  <c r="AC30" i="4"/>
  <c r="F28" i="1" s="1"/>
  <c r="H28" i="1" s="1"/>
  <c r="L28" i="1" s="1"/>
  <c r="X31" i="4"/>
  <c r="X32" i="4" s="1"/>
  <c r="Y38" i="61" s="1"/>
  <c r="P38" i="61" s="1"/>
  <c r="H25" i="62"/>
  <c r="K43" i="4"/>
  <c r="P24" i="61"/>
  <c r="T24" i="61" s="1"/>
  <c r="M24" i="61"/>
  <c r="P30" i="61"/>
  <c r="T30" i="61" s="1"/>
  <c r="M30" i="61"/>
  <c r="H23" i="1"/>
  <c r="N148" i="31"/>
  <c r="N149" i="31" s="1"/>
  <c r="N150" i="31" s="1"/>
  <c r="E27" i="62" l="1"/>
  <c r="F27" i="62" s="1"/>
  <c r="D36" i="62"/>
  <c r="D37" i="62" s="1"/>
  <c r="T17" i="66"/>
  <c r="AC39" i="4"/>
  <c r="X41" i="4"/>
  <c r="I25" i="62"/>
  <c r="M22" i="61"/>
  <c r="P23" i="61"/>
  <c r="T23" i="61" s="1"/>
  <c r="M23" i="61"/>
  <c r="L23" i="1"/>
  <c r="E28" i="62" l="1"/>
  <c r="E30" i="62" s="1"/>
  <c r="E36" i="62" s="1"/>
  <c r="D38" i="62"/>
  <c r="E35" i="62" s="1"/>
  <c r="G27" i="62"/>
  <c r="F28" i="62"/>
  <c r="F30" i="62" s="1"/>
  <c r="F36" i="62" s="1"/>
  <c r="AA38" i="61"/>
  <c r="X43" i="4"/>
  <c r="F37" i="1"/>
  <c r="AC41" i="4"/>
  <c r="J25" i="62"/>
  <c r="M48" i="36"/>
  <c r="E38" i="62" l="1"/>
  <c r="F35" i="62" s="1"/>
  <c r="F37" i="62" s="1"/>
  <c r="E37" i="62"/>
  <c r="H37" i="1"/>
  <c r="F39" i="1"/>
  <c r="R38" i="61"/>
  <c r="AA42" i="61"/>
  <c r="G28" i="62"/>
  <c r="G30" i="62" s="1"/>
  <c r="G36" i="62" s="1"/>
  <c r="H27" i="62"/>
  <c r="AC18" i="4"/>
  <c r="F16" i="1" s="1"/>
  <c r="F29" i="4"/>
  <c r="K30" i="31"/>
  <c r="F38" i="62" l="1"/>
  <c r="G35" i="62" s="1"/>
  <c r="G37" i="62" s="1"/>
  <c r="F31" i="4"/>
  <c r="H13" i="66"/>
  <c r="H28" i="62"/>
  <c r="H30" i="62" s="1"/>
  <c r="H36" i="62" s="1"/>
  <c r="I27" i="62"/>
  <c r="AC38" i="61"/>
  <c r="I21" i="64" s="1"/>
  <c r="T38" i="61"/>
  <c r="R42" i="61"/>
  <c r="L37" i="1"/>
  <c r="L39" i="1" s="1"/>
  <c r="B16" i="24" s="1"/>
  <c r="D16" i="24" s="1"/>
  <c r="F16" i="24" s="1"/>
  <c r="H16" i="24" s="1"/>
  <c r="J29" i="4" s="1"/>
  <c r="Y22" i="61" s="1"/>
  <c r="H39" i="1"/>
  <c r="H16" i="1"/>
  <c r="L16" i="1" s="1"/>
  <c r="K142" i="31"/>
  <c r="K36" i="31"/>
  <c r="K53" i="31" s="1"/>
  <c r="X30" i="31"/>
  <c r="G38" i="62" l="1"/>
  <c r="H35" i="62" s="1"/>
  <c r="H37" i="62" s="1"/>
  <c r="F7" i="26"/>
  <c r="F10" i="26" s="1"/>
  <c r="J13" i="66"/>
  <c r="N13" i="66" s="1"/>
  <c r="L13" i="66"/>
  <c r="P13" i="66" s="1"/>
  <c r="R13" i="66" s="1"/>
  <c r="Y35" i="61"/>
  <c r="AC22" i="61"/>
  <c r="P22" i="61"/>
  <c r="T22" i="61" s="1"/>
  <c r="J27" i="62"/>
  <c r="I28" i="62"/>
  <c r="I30" i="62" s="1"/>
  <c r="I36" i="62" s="1"/>
  <c r="J31" i="4"/>
  <c r="J32" i="4" s="1"/>
  <c r="J43" i="4" s="1"/>
  <c r="H16" i="66"/>
  <c r="M142" i="31"/>
  <c r="M148" i="31" s="1"/>
  <c r="M149" i="31" s="1"/>
  <c r="M150" i="31" s="1"/>
  <c r="F32" i="4"/>
  <c r="K148" i="31"/>
  <c r="K149" i="31" s="1"/>
  <c r="K150" i="31" s="1"/>
  <c r="X36" i="31"/>
  <c r="Y30" i="31"/>
  <c r="Y36" i="31" s="1"/>
  <c r="Y53" i="31" s="1"/>
  <c r="H38" i="62" l="1"/>
  <c r="I35" i="62" s="1"/>
  <c r="I38" i="62" s="1"/>
  <c r="J35" i="62" s="1"/>
  <c r="T13" i="66"/>
  <c r="AC35" i="61"/>
  <c r="I16" i="64"/>
  <c r="J16" i="66"/>
  <c r="H29" i="66"/>
  <c r="L16" i="66"/>
  <c r="J28" i="62"/>
  <c r="J30" i="62" s="1"/>
  <c r="J36" i="62" s="1"/>
  <c r="X142" i="31"/>
  <c r="X148" i="31" s="1"/>
  <c r="F43" i="4"/>
  <c r="X53" i="31"/>
  <c r="I37" i="62" l="1"/>
  <c r="J38" i="62"/>
  <c r="D8" i="63" s="1"/>
  <c r="J8" i="63" s="1"/>
  <c r="L8" i="63" s="1"/>
  <c r="D9" i="63" s="1"/>
  <c r="J9" i="63" s="1"/>
  <c r="L9" i="63" s="1"/>
  <c r="D10" i="63" s="1"/>
  <c r="J10" i="63" s="1"/>
  <c r="L10" i="63" s="1"/>
  <c r="D11" i="63" s="1"/>
  <c r="J11" i="63" s="1"/>
  <c r="L11" i="63" s="1"/>
  <c r="D12" i="63" s="1"/>
  <c r="J12" i="63" s="1"/>
  <c r="L12" i="63" s="1"/>
  <c r="D13" i="63" s="1"/>
  <c r="J13" i="63" s="1"/>
  <c r="L13" i="63" s="1"/>
  <c r="D14" i="63" s="1"/>
  <c r="J14" i="63" s="1"/>
  <c r="L14" i="63" s="1"/>
  <c r="D15" i="63" s="1"/>
  <c r="J15" i="63" s="1"/>
  <c r="L15" i="63" s="1"/>
  <c r="D16" i="63" s="1"/>
  <c r="J16" i="63" s="1"/>
  <c r="L16" i="63" s="1"/>
  <c r="D17" i="63" s="1"/>
  <c r="J17" i="63" s="1"/>
  <c r="L17" i="63" s="1"/>
  <c r="D18" i="63" s="1"/>
  <c r="J18" i="63" s="1"/>
  <c r="L18" i="63" s="1"/>
  <c r="D19" i="63" s="1"/>
  <c r="J19" i="63" s="1"/>
  <c r="L19" i="63" s="1"/>
  <c r="D20" i="63" s="1"/>
  <c r="J20" i="63" s="1"/>
  <c r="L20" i="63" s="1"/>
  <c r="D21" i="63" s="1"/>
  <c r="J21" i="63" s="1"/>
  <c r="L21" i="63" s="1"/>
  <c r="D22" i="63" s="1"/>
  <c r="J22" i="63" s="1"/>
  <c r="L22" i="63" s="1"/>
  <c r="D23" i="63" s="1"/>
  <c r="J23" i="63" s="1"/>
  <c r="L23" i="63" s="1"/>
  <c r="D24" i="63" s="1"/>
  <c r="J24" i="63" s="1"/>
  <c r="L24" i="63" s="1"/>
  <c r="D25" i="63" s="1"/>
  <c r="J25" i="63" s="1"/>
  <c r="L25" i="63" s="1"/>
  <c r="D26" i="63" s="1"/>
  <c r="J26" i="63" s="1"/>
  <c r="L26" i="63" s="1"/>
  <c r="D27" i="63" s="1"/>
  <c r="J27" i="63" s="1"/>
  <c r="L27" i="63" s="1"/>
  <c r="D28" i="63" s="1"/>
  <c r="J28" i="63" s="1"/>
  <c r="L28" i="63" s="1"/>
  <c r="D29" i="63" s="1"/>
  <c r="J29" i="63" s="1"/>
  <c r="L29" i="63" s="1"/>
  <c r="D30" i="63" s="1"/>
  <c r="J30" i="63" s="1"/>
  <c r="L30" i="63" s="1"/>
  <c r="D31" i="63" s="1"/>
  <c r="J31" i="63" s="1"/>
  <c r="L31" i="63" s="1"/>
  <c r="Z43" i="4"/>
  <c r="Y142" i="31"/>
  <c r="Y148" i="31" s="1"/>
  <c r="Y149" i="31" s="1"/>
  <c r="Y150" i="31" s="1"/>
  <c r="P16" i="66"/>
  <c r="L29" i="66"/>
  <c r="N16" i="66"/>
  <c r="N29" i="66" s="1"/>
  <c r="J29" i="66"/>
  <c r="J37" i="62"/>
  <c r="P15" i="61"/>
  <c r="M15" i="61"/>
  <c r="M19" i="61" s="1"/>
  <c r="M35" i="61" s="1"/>
  <c r="M42" i="61" s="1"/>
  <c r="I19" i="61"/>
  <c r="I35" i="61" s="1"/>
  <c r="I42" i="61" s="1"/>
  <c r="X149" i="31"/>
  <c r="X150" i="31" s="1"/>
  <c r="Z142" i="31" l="1"/>
  <c r="AA142" i="31" s="1"/>
  <c r="R16" i="66"/>
  <c r="P29" i="66"/>
  <c r="M43" i="61"/>
  <c r="T15" i="61"/>
  <c r="T19" i="61" s="1"/>
  <c r="T35" i="61" s="1"/>
  <c r="AC40" i="61" s="1"/>
  <c r="P19" i="61"/>
  <c r="P35" i="61" s="1"/>
  <c r="T16" i="66" l="1"/>
  <c r="R29" i="66"/>
  <c r="T29" i="66" s="1"/>
  <c r="T40" i="61"/>
  <c r="I23" i="64"/>
  <c r="W29" i="4" l="1"/>
  <c r="Y37" i="61"/>
  <c r="Y42" i="61" l="1"/>
  <c r="P37" i="61"/>
  <c r="W31" i="4"/>
  <c r="AC29" i="4"/>
  <c r="F27" i="1" s="1"/>
  <c r="F29" i="1" l="1"/>
  <c r="F30" i="1" s="1"/>
  <c r="F42" i="1" s="1"/>
  <c r="H27" i="1"/>
  <c r="H29" i="1" s="1"/>
  <c r="H30" i="1" s="1"/>
  <c r="F11" i="26" s="1"/>
  <c r="F13" i="26" s="1"/>
  <c r="F17" i="26" s="1"/>
  <c r="AC31" i="4"/>
  <c r="AC32" i="4" s="1"/>
  <c r="AC43" i="4" s="1"/>
  <c r="W32" i="4"/>
  <c r="W43" i="4" s="1"/>
  <c r="T37" i="61"/>
  <c r="T42" i="61" s="1"/>
  <c r="AC37" i="61"/>
  <c r="P42" i="61"/>
  <c r="H40" i="1" l="1"/>
  <c r="H42" i="1"/>
  <c r="T43" i="61"/>
  <c r="I20" i="64"/>
  <c r="AC42" i="61"/>
  <c r="F21" i="26"/>
  <c r="M46" i="61"/>
  <c r="I10" i="64" s="1"/>
  <c r="J10" i="1"/>
  <c r="T44" i="61"/>
  <c r="T46" i="61" s="1"/>
  <c r="K24" i="64" l="1"/>
  <c r="K26" i="64" s="1"/>
  <c r="N26" i="64" s="1"/>
  <c r="M48" i="61"/>
  <c r="J13" i="1"/>
  <c r="L10" i="1"/>
  <c r="L13" i="1" s="1"/>
  <c r="J17" i="1" l="1"/>
  <c r="J20" i="1"/>
  <c r="L20" i="1" s="1"/>
  <c r="J27" i="1" l="1"/>
  <c r="L27" i="1" s="1"/>
  <c r="L17" i="1"/>
  <c r="L29" i="1" l="1"/>
  <c r="L30" i="1" s="1"/>
  <c r="L40" i="1" s="1"/>
  <c r="J29" i="1"/>
  <c r="J30" i="1" s="1"/>
  <c r="C13" i="64" l="1"/>
  <c r="C14" i="64" s="1"/>
  <c r="C15" i="64" s="1"/>
  <c r="C16" i="64" s="1"/>
  <c r="C17" i="64" s="1"/>
  <c r="C18" i="64" s="1"/>
  <c r="C19" i="64" s="1"/>
  <c r="C20" i="64" l="1"/>
  <c r="C21" i="64" l="1"/>
  <c r="C22" i="64" l="1"/>
  <c r="C23" i="64" s="1"/>
  <c r="C24" i="64" s="1"/>
  <c r="C26" i="64" l="1"/>
  <c r="B12" i="65"/>
  <c r="B14" i="65" l="1"/>
  <c r="B17" i="65" s="1"/>
  <c r="B18" i="65" s="1"/>
  <c r="B20" i="65" l="1"/>
  <c r="B25" i="65" s="1"/>
  <c r="B26" i="65" l="1"/>
  <c r="B27" i="65" l="1"/>
  <c r="B28" i="65" s="1"/>
  <c r="B30" i="65" l="1"/>
  <c r="B33" i="65" s="1"/>
  <c r="B35" i="65" s="1"/>
  <c r="B36" i="65" s="1"/>
  <c r="B37" i="65" l="1"/>
  <c r="B38" i="65" s="1"/>
  <c r="B39" i="65" s="1"/>
  <c r="B41" i="65" s="1"/>
  <c r="B43" i="65" s="1"/>
</calcChain>
</file>

<file path=xl/comments1.xml><?xml version="1.0" encoding="utf-8"?>
<comments xmlns="http://schemas.openxmlformats.org/spreadsheetml/2006/main">
  <authors>
    <author>Cascade Natural Gas</author>
  </authors>
  <commentList>
    <comment ref="J11" authorId="0" shapeId="0">
      <text>
        <r>
          <rPr>
            <b/>
            <sz val="9"/>
            <color indexed="81"/>
            <rFont val="Tahoma"/>
            <family val="2"/>
          </rPr>
          <t>Cascade Natural Gas:</t>
        </r>
        <r>
          <rPr>
            <sz val="9"/>
            <color indexed="81"/>
            <rFont val="Tahoma"/>
            <family val="2"/>
          </rPr>
          <t xml:space="preserve">
Average of 2017 increases</t>
        </r>
      </text>
    </comment>
    <comment ref="M11" authorId="0" shapeId="0">
      <text>
        <r>
          <rPr>
            <b/>
            <sz val="9"/>
            <color indexed="81"/>
            <rFont val="Tahoma"/>
            <family val="2"/>
          </rPr>
          <t>Cascade Natural Gas:</t>
        </r>
        <r>
          <rPr>
            <sz val="9"/>
            <color indexed="81"/>
            <rFont val="Tahoma"/>
            <family val="2"/>
          </rPr>
          <t xml:space="preserve">
Average of 2017 increases</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2.xml><?xml version="1.0" encoding="utf-8"?>
<comments xmlns="http://schemas.openxmlformats.org/spreadsheetml/2006/main">
  <authors>
    <author xml:space="preserve">Roeun Lim </author>
    <author>Jennifer Lopez</author>
  </authors>
  <commentList>
    <comment ref="F32" authorId="0" shapeId="0">
      <text>
        <r>
          <rPr>
            <b/>
            <sz val="8"/>
            <color indexed="81"/>
            <rFont val="Tahoma"/>
            <family val="2"/>
          </rPr>
          <t>Roeun Lim :</t>
        </r>
        <r>
          <rPr>
            <sz val="8"/>
            <color indexed="81"/>
            <rFont val="Tahoma"/>
            <family val="2"/>
          </rPr>
          <t xml:space="preserve">
'Misc assets' on BS
</t>
        </r>
      </text>
    </comment>
    <comment ref="G32" authorId="0" shapeId="0">
      <text>
        <r>
          <rPr>
            <b/>
            <sz val="8"/>
            <color indexed="81"/>
            <rFont val="Tahoma"/>
            <family val="2"/>
          </rPr>
          <t>Roeun Lim :</t>
        </r>
        <r>
          <rPr>
            <sz val="8"/>
            <color indexed="81"/>
            <rFont val="Tahoma"/>
            <family val="2"/>
          </rPr>
          <t xml:space="preserve">
'Misc assets' on BS
</t>
        </r>
      </text>
    </comment>
    <comment ref="H32" authorId="0" shapeId="0">
      <text>
        <r>
          <rPr>
            <b/>
            <sz val="8"/>
            <color indexed="81"/>
            <rFont val="Tahoma"/>
            <family val="2"/>
          </rPr>
          <t>Roeun Lim :</t>
        </r>
        <r>
          <rPr>
            <sz val="8"/>
            <color indexed="81"/>
            <rFont val="Tahoma"/>
            <family val="2"/>
          </rPr>
          <t xml:space="preserve">
'Misc assets' on BS
</t>
        </r>
      </text>
    </comment>
    <comment ref="I32" authorId="0" shapeId="0">
      <text>
        <r>
          <rPr>
            <b/>
            <sz val="8"/>
            <color indexed="81"/>
            <rFont val="Tahoma"/>
            <family val="2"/>
          </rPr>
          <t>Roeun Lim :</t>
        </r>
        <r>
          <rPr>
            <sz val="8"/>
            <color indexed="81"/>
            <rFont val="Tahoma"/>
            <family val="2"/>
          </rPr>
          <t xml:space="preserve">
'Misc assets' on BS
</t>
        </r>
      </text>
    </comment>
    <comment ref="J32" authorId="0" shapeId="0">
      <text>
        <r>
          <rPr>
            <b/>
            <sz val="8"/>
            <color indexed="81"/>
            <rFont val="Tahoma"/>
            <family val="2"/>
          </rPr>
          <t>Roeun Lim :</t>
        </r>
        <r>
          <rPr>
            <sz val="8"/>
            <color indexed="81"/>
            <rFont val="Tahoma"/>
            <family val="2"/>
          </rPr>
          <t xml:space="preserve">
'Misc assets' on BS
</t>
        </r>
      </text>
    </comment>
    <comment ref="K32" authorId="0" shapeId="0">
      <text>
        <r>
          <rPr>
            <b/>
            <sz val="8"/>
            <color indexed="81"/>
            <rFont val="Tahoma"/>
            <family val="2"/>
          </rPr>
          <t>Roeun Lim :</t>
        </r>
        <r>
          <rPr>
            <sz val="8"/>
            <color indexed="81"/>
            <rFont val="Tahoma"/>
            <family val="2"/>
          </rPr>
          <t xml:space="preserve">
'Misc assets' on BS
</t>
        </r>
      </text>
    </comment>
    <comment ref="L32" authorId="0" shapeId="0">
      <text>
        <r>
          <rPr>
            <b/>
            <sz val="8"/>
            <color indexed="81"/>
            <rFont val="Tahoma"/>
            <family val="2"/>
          </rPr>
          <t>Roeun Lim :</t>
        </r>
        <r>
          <rPr>
            <sz val="8"/>
            <color indexed="81"/>
            <rFont val="Tahoma"/>
            <family val="2"/>
          </rPr>
          <t xml:space="preserve">
'Misc assets' on BS
</t>
        </r>
      </text>
    </comment>
    <comment ref="M32" authorId="0" shapeId="0">
      <text>
        <r>
          <rPr>
            <b/>
            <sz val="8"/>
            <color indexed="81"/>
            <rFont val="Tahoma"/>
            <family val="2"/>
          </rPr>
          <t>Roeun Lim :</t>
        </r>
        <r>
          <rPr>
            <sz val="8"/>
            <color indexed="81"/>
            <rFont val="Tahoma"/>
            <family val="2"/>
          </rPr>
          <t xml:space="preserve">
'Misc assets' on BS
</t>
        </r>
      </text>
    </comment>
    <comment ref="N32" authorId="0" shapeId="0">
      <text>
        <r>
          <rPr>
            <b/>
            <sz val="8"/>
            <color indexed="81"/>
            <rFont val="Tahoma"/>
            <family val="2"/>
          </rPr>
          <t>Roeun Lim :</t>
        </r>
        <r>
          <rPr>
            <sz val="8"/>
            <color indexed="81"/>
            <rFont val="Tahoma"/>
            <family val="2"/>
          </rPr>
          <t xml:space="preserve">
'Misc assets' on BS
</t>
        </r>
      </text>
    </comment>
    <comment ref="O32" authorId="0" shapeId="0">
      <text>
        <r>
          <rPr>
            <b/>
            <sz val="8"/>
            <color indexed="81"/>
            <rFont val="Tahoma"/>
            <family val="2"/>
          </rPr>
          <t>Roeun Lim :</t>
        </r>
        <r>
          <rPr>
            <sz val="8"/>
            <color indexed="81"/>
            <rFont val="Tahoma"/>
            <family val="2"/>
          </rPr>
          <t xml:space="preserve">
'Misc assets' on BS
</t>
        </r>
      </text>
    </comment>
    <comment ref="P32" authorId="0" shapeId="0">
      <text>
        <r>
          <rPr>
            <b/>
            <sz val="8"/>
            <color indexed="81"/>
            <rFont val="Tahoma"/>
            <family val="2"/>
          </rPr>
          <t>Roeun Lim :</t>
        </r>
        <r>
          <rPr>
            <sz val="8"/>
            <color indexed="81"/>
            <rFont val="Tahoma"/>
            <family val="2"/>
          </rPr>
          <t xml:space="preserve">
'Misc assets' on BS
</t>
        </r>
      </text>
    </comment>
    <comment ref="Q32" authorId="0" shapeId="0">
      <text>
        <r>
          <rPr>
            <b/>
            <sz val="8"/>
            <color indexed="81"/>
            <rFont val="Tahoma"/>
            <family val="2"/>
          </rPr>
          <t>Roeun Lim :</t>
        </r>
        <r>
          <rPr>
            <sz val="8"/>
            <color indexed="81"/>
            <rFont val="Tahoma"/>
            <family val="2"/>
          </rPr>
          <t xml:space="preserve">
'Misc assets' on BS
</t>
        </r>
      </text>
    </comment>
    <comment ref="R32" authorId="0" shapeId="0">
      <text>
        <r>
          <rPr>
            <b/>
            <sz val="8"/>
            <color indexed="81"/>
            <rFont val="Tahoma"/>
            <family val="2"/>
          </rPr>
          <t>Roeun Lim :</t>
        </r>
        <r>
          <rPr>
            <sz val="8"/>
            <color indexed="81"/>
            <rFont val="Tahoma"/>
            <family val="2"/>
          </rPr>
          <t xml:space="preserve">
'Misc assets' on BS
</t>
        </r>
      </text>
    </comment>
    <comment ref="D71" authorId="1" shapeId="0">
      <text>
        <r>
          <rPr>
            <b/>
            <sz val="8"/>
            <color indexed="81"/>
            <rFont val="Tahoma"/>
            <family val="2"/>
          </rPr>
          <t>Jennifer Lopez:</t>
        </r>
        <r>
          <rPr>
            <sz val="8"/>
            <color indexed="81"/>
            <rFont val="Tahoma"/>
            <family val="2"/>
          </rPr>
          <t xml:space="preserve">
added 05/09</t>
        </r>
      </text>
    </comment>
    <comment ref="F92" authorId="0" shapeId="0">
      <text>
        <r>
          <rPr>
            <b/>
            <sz val="8"/>
            <color indexed="81"/>
            <rFont val="Tahoma"/>
            <family val="2"/>
          </rPr>
          <t>Roeun Lim :</t>
        </r>
        <r>
          <rPr>
            <sz val="8"/>
            <color indexed="81"/>
            <rFont val="Tahoma"/>
            <family val="2"/>
          </rPr>
          <t xml:space="preserve">
Prepayments and other current assets on BS</t>
        </r>
      </text>
    </comment>
    <comment ref="G92" authorId="0" shapeId="0">
      <text>
        <r>
          <rPr>
            <b/>
            <sz val="8"/>
            <color indexed="81"/>
            <rFont val="Tahoma"/>
            <family val="2"/>
          </rPr>
          <t>Roeun Lim :</t>
        </r>
        <r>
          <rPr>
            <sz val="8"/>
            <color indexed="81"/>
            <rFont val="Tahoma"/>
            <family val="2"/>
          </rPr>
          <t xml:space="preserve">
Prepayments and other current assets on BS</t>
        </r>
      </text>
    </comment>
    <comment ref="H92" authorId="0" shapeId="0">
      <text>
        <r>
          <rPr>
            <b/>
            <sz val="8"/>
            <color indexed="81"/>
            <rFont val="Tahoma"/>
            <family val="2"/>
          </rPr>
          <t>Roeun Lim :</t>
        </r>
        <r>
          <rPr>
            <sz val="8"/>
            <color indexed="81"/>
            <rFont val="Tahoma"/>
            <family val="2"/>
          </rPr>
          <t xml:space="preserve">
Prepayments and other current assets on BS</t>
        </r>
      </text>
    </comment>
    <comment ref="I92" authorId="0" shapeId="0">
      <text>
        <r>
          <rPr>
            <b/>
            <sz val="8"/>
            <color indexed="81"/>
            <rFont val="Tahoma"/>
            <family val="2"/>
          </rPr>
          <t>Roeun Lim :</t>
        </r>
        <r>
          <rPr>
            <sz val="8"/>
            <color indexed="81"/>
            <rFont val="Tahoma"/>
            <family val="2"/>
          </rPr>
          <t xml:space="preserve">
Prepayments and other current assets on BS</t>
        </r>
      </text>
    </comment>
    <comment ref="J92" authorId="0" shapeId="0">
      <text>
        <r>
          <rPr>
            <b/>
            <sz val="8"/>
            <color indexed="81"/>
            <rFont val="Tahoma"/>
            <family val="2"/>
          </rPr>
          <t>Roeun Lim :</t>
        </r>
        <r>
          <rPr>
            <sz val="8"/>
            <color indexed="81"/>
            <rFont val="Tahoma"/>
            <family val="2"/>
          </rPr>
          <t xml:space="preserve">
Prepayments and other current assets on BS</t>
        </r>
      </text>
    </comment>
    <comment ref="K92" authorId="0" shapeId="0">
      <text>
        <r>
          <rPr>
            <b/>
            <sz val="8"/>
            <color indexed="81"/>
            <rFont val="Tahoma"/>
            <family val="2"/>
          </rPr>
          <t>Roeun Lim :</t>
        </r>
        <r>
          <rPr>
            <sz val="8"/>
            <color indexed="81"/>
            <rFont val="Tahoma"/>
            <family val="2"/>
          </rPr>
          <t xml:space="preserve">
Prepayments and other current assets on BS</t>
        </r>
      </text>
    </comment>
    <comment ref="L92" authorId="0" shapeId="0">
      <text>
        <r>
          <rPr>
            <b/>
            <sz val="8"/>
            <color indexed="81"/>
            <rFont val="Tahoma"/>
            <family val="2"/>
          </rPr>
          <t>Roeun Lim :</t>
        </r>
        <r>
          <rPr>
            <sz val="8"/>
            <color indexed="81"/>
            <rFont val="Tahoma"/>
            <family val="2"/>
          </rPr>
          <t xml:space="preserve">
Prepayments and other current assets on BS</t>
        </r>
      </text>
    </comment>
    <comment ref="M92" authorId="0" shapeId="0">
      <text>
        <r>
          <rPr>
            <b/>
            <sz val="8"/>
            <color indexed="81"/>
            <rFont val="Tahoma"/>
            <family val="2"/>
          </rPr>
          <t>Roeun Lim :</t>
        </r>
        <r>
          <rPr>
            <sz val="8"/>
            <color indexed="81"/>
            <rFont val="Tahoma"/>
            <family val="2"/>
          </rPr>
          <t xml:space="preserve">
Prepayments and other current assets on BS</t>
        </r>
      </text>
    </comment>
    <comment ref="N92" authorId="0" shapeId="0">
      <text>
        <r>
          <rPr>
            <b/>
            <sz val="8"/>
            <color indexed="81"/>
            <rFont val="Tahoma"/>
            <family val="2"/>
          </rPr>
          <t>Roeun Lim :</t>
        </r>
        <r>
          <rPr>
            <sz val="8"/>
            <color indexed="81"/>
            <rFont val="Tahoma"/>
            <family val="2"/>
          </rPr>
          <t xml:space="preserve">
Prepayments and other current assets on BS</t>
        </r>
      </text>
    </comment>
    <comment ref="O92" authorId="0" shapeId="0">
      <text>
        <r>
          <rPr>
            <b/>
            <sz val="8"/>
            <color indexed="81"/>
            <rFont val="Tahoma"/>
            <family val="2"/>
          </rPr>
          <t>Roeun Lim :</t>
        </r>
        <r>
          <rPr>
            <sz val="8"/>
            <color indexed="81"/>
            <rFont val="Tahoma"/>
            <family val="2"/>
          </rPr>
          <t xml:space="preserve">
Prepayments and other current assets on BS</t>
        </r>
      </text>
    </comment>
    <comment ref="P92" authorId="0" shapeId="0">
      <text>
        <r>
          <rPr>
            <b/>
            <sz val="8"/>
            <color indexed="81"/>
            <rFont val="Tahoma"/>
            <family val="2"/>
          </rPr>
          <t>Roeun Lim :</t>
        </r>
        <r>
          <rPr>
            <sz val="8"/>
            <color indexed="81"/>
            <rFont val="Tahoma"/>
            <family val="2"/>
          </rPr>
          <t xml:space="preserve">
Prepayments and other current assets on BS</t>
        </r>
      </text>
    </comment>
    <comment ref="Q92" authorId="0" shapeId="0">
      <text>
        <r>
          <rPr>
            <b/>
            <sz val="8"/>
            <color indexed="81"/>
            <rFont val="Tahoma"/>
            <family val="2"/>
          </rPr>
          <t>Roeun Lim :</t>
        </r>
        <r>
          <rPr>
            <sz val="8"/>
            <color indexed="81"/>
            <rFont val="Tahoma"/>
            <family val="2"/>
          </rPr>
          <t xml:space="preserve">
Prepayments and other current assets on BS</t>
        </r>
      </text>
    </comment>
    <comment ref="R92" authorId="0" shapeId="0">
      <text>
        <r>
          <rPr>
            <b/>
            <sz val="8"/>
            <color indexed="81"/>
            <rFont val="Tahoma"/>
            <family val="2"/>
          </rPr>
          <t>Roeun Lim :</t>
        </r>
        <r>
          <rPr>
            <sz val="8"/>
            <color indexed="81"/>
            <rFont val="Tahoma"/>
            <family val="2"/>
          </rPr>
          <t xml:space="preserve">
Prepayments and other current assets on BS</t>
        </r>
      </text>
    </comment>
    <comment ref="F198" authorId="0" shapeId="0">
      <text>
        <r>
          <rPr>
            <b/>
            <sz val="8"/>
            <color indexed="81"/>
            <rFont val="Tahoma"/>
            <family val="2"/>
          </rPr>
          <t>Roeun Lim :</t>
        </r>
        <r>
          <rPr>
            <sz val="8"/>
            <color indexed="81"/>
            <rFont val="Tahoma"/>
            <family val="2"/>
          </rPr>
          <t xml:space="preserve">
"Other paid in capita"l on BS</t>
        </r>
      </text>
    </comment>
    <comment ref="D258" authorId="1" shapeId="0">
      <text>
        <r>
          <rPr>
            <b/>
            <sz val="8"/>
            <color indexed="81"/>
            <rFont val="Tahoma"/>
            <family val="2"/>
          </rPr>
          <t>Jennifer Lopez:</t>
        </r>
        <r>
          <rPr>
            <sz val="8"/>
            <color indexed="81"/>
            <rFont val="Tahoma"/>
            <family val="2"/>
          </rPr>
          <t xml:space="preserve">
added 05/09</t>
        </r>
      </text>
    </comment>
    <comment ref="K261" authorId="0" shapeId="0">
      <text>
        <r>
          <rPr>
            <b/>
            <sz val="8"/>
            <color indexed="81"/>
            <rFont val="Tahoma"/>
            <family val="2"/>
          </rPr>
          <t>Roeun Lim :</t>
        </r>
        <r>
          <rPr>
            <sz val="8"/>
            <color indexed="81"/>
            <rFont val="Tahoma"/>
            <family val="2"/>
          </rPr>
          <t xml:space="preserve">
"Dividends declared" on BS</t>
        </r>
      </text>
    </comment>
    <comment ref="L261" authorId="0" shapeId="0">
      <text>
        <r>
          <rPr>
            <b/>
            <sz val="8"/>
            <color indexed="81"/>
            <rFont val="Tahoma"/>
            <family val="2"/>
          </rPr>
          <t>Roeun Lim :</t>
        </r>
        <r>
          <rPr>
            <sz val="8"/>
            <color indexed="81"/>
            <rFont val="Tahoma"/>
            <family val="2"/>
          </rPr>
          <t xml:space="preserve">
"Dividends declared" on BS</t>
        </r>
      </text>
    </comment>
    <comment ref="M261" authorId="0" shapeId="0">
      <text>
        <r>
          <rPr>
            <b/>
            <sz val="8"/>
            <color indexed="81"/>
            <rFont val="Tahoma"/>
            <family val="2"/>
          </rPr>
          <t>Roeun Lim :</t>
        </r>
        <r>
          <rPr>
            <sz val="8"/>
            <color indexed="81"/>
            <rFont val="Tahoma"/>
            <family val="2"/>
          </rPr>
          <t xml:space="preserve">
"Dividends declared" on BS</t>
        </r>
      </text>
    </comment>
    <comment ref="N261" authorId="0" shapeId="0">
      <text>
        <r>
          <rPr>
            <b/>
            <sz val="8"/>
            <color indexed="81"/>
            <rFont val="Tahoma"/>
            <family val="2"/>
          </rPr>
          <t>Roeun Lim :</t>
        </r>
        <r>
          <rPr>
            <sz val="8"/>
            <color indexed="81"/>
            <rFont val="Tahoma"/>
            <family val="2"/>
          </rPr>
          <t xml:space="preserve">
"Dividends declared" on BS</t>
        </r>
      </text>
    </comment>
    <comment ref="O261" authorId="0" shapeId="0">
      <text>
        <r>
          <rPr>
            <b/>
            <sz val="8"/>
            <color indexed="81"/>
            <rFont val="Tahoma"/>
            <family val="2"/>
          </rPr>
          <t>Roeun Lim :</t>
        </r>
        <r>
          <rPr>
            <sz val="8"/>
            <color indexed="81"/>
            <rFont val="Tahoma"/>
            <family val="2"/>
          </rPr>
          <t xml:space="preserve">
"Dividends declared" on BS</t>
        </r>
      </text>
    </comment>
    <comment ref="P261" authorId="0" shapeId="0">
      <text>
        <r>
          <rPr>
            <b/>
            <sz val="8"/>
            <color indexed="81"/>
            <rFont val="Tahoma"/>
            <family val="2"/>
          </rPr>
          <t>Roeun Lim :</t>
        </r>
        <r>
          <rPr>
            <sz val="8"/>
            <color indexed="81"/>
            <rFont val="Tahoma"/>
            <family val="2"/>
          </rPr>
          <t xml:space="preserve">
"Dividends declared" on BS</t>
        </r>
      </text>
    </comment>
    <comment ref="Q261" authorId="0" shapeId="0">
      <text>
        <r>
          <rPr>
            <b/>
            <sz val="8"/>
            <color indexed="81"/>
            <rFont val="Tahoma"/>
            <family val="2"/>
          </rPr>
          <t>Roeun Lim :</t>
        </r>
        <r>
          <rPr>
            <sz val="8"/>
            <color indexed="81"/>
            <rFont val="Tahoma"/>
            <family val="2"/>
          </rPr>
          <t xml:space="preserve">
"Dividends declared" on BS</t>
        </r>
      </text>
    </comment>
    <comment ref="R261" authorId="0" shapeId="0">
      <text>
        <r>
          <rPr>
            <b/>
            <sz val="8"/>
            <color indexed="81"/>
            <rFont val="Tahoma"/>
            <family val="2"/>
          </rPr>
          <t>Roeun Lim :</t>
        </r>
        <r>
          <rPr>
            <sz val="8"/>
            <color indexed="81"/>
            <rFont val="Tahoma"/>
            <family val="2"/>
          </rPr>
          <t xml:space="preserve">
"Dividends declared" on BS</t>
        </r>
      </text>
    </comment>
    <comment ref="J262" authorId="0" shapeId="0">
      <text>
        <r>
          <rPr>
            <b/>
            <sz val="8"/>
            <color indexed="81"/>
            <rFont val="Tahoma"/>
            <family val="2"/>
          </rPr>
          <t>Roeun Lim :</t>
        </r>
        <r>
          <rPr>
            <sz val="8"/>
            <color indexed="81"/>
            <rFont val="Tahoma"/>
            <family val="2"/>
          </rPr>
          <t xml:space="preserve">
"Dividends declared" on BS</t>
        </r>
      </text>
    </comment>
    <comment ref="K262" authorId="0" shapeId="0">
      <text>
        <r>
          <rPr>
            <b/>
            <sz val="8"/>
            <color indexed="81"/>
            <rFont val="Tahoma"/>
            <family val="2"/>
          </rPr>
          <t>Roeun Lim :</t>
        </r>
        <r>
          <rPr>
            <sz val="8"/>
            <color indexed="81"/>
            <rFont val="Tahoma"/>
            <family val="2"/>
          </rPr>
          <t xml:space="preserve">
"Consumer Deposit" on BS</t>
        </r>
      </text>
    </comment>
    <comment ref="L262" authorId="0" shapeId="0">
      <text>
        <r>
          <rPr>
            <b/>
            <sz val="8"/>
            <color indexed="81"/>
            <rFont val="Tahoma"/>
            <family val="2"/>
          </rPr>
          <t>Roeun Lim :</t>
        </r>
        <r>
          <rPr>
            <sz val="8"/>
            <color indexed="81"/>
            <rFont val="Tahoma"/>
            <family val="2"/>
          </rPr>
          <t xml:space="preserve">
"Consumer Deposit" on BS</t>
        </r>
      </text>
    </comment>
    <comment ref="M262" authorId="0" shapeId="0">
      <text>
        <r>
          <rPr>
            <b/>
            <sz val="8"/>
            <color indexed="81"/>
            <rFont val="Tahoma"/>
            <family val="2"/>
          </rPr>
          <t>Roeun Lim :</t>
        </r>
        <r>
          <rPr>
            <sz val="8"/>
            <color indexed="81"/>
            <rFont val="Tahoma"/>
            <family val="2"/>
          </rPr>
          <t xml:space="preserve">
"Consumer Deposit" on BS</t>
        </r>
      </text>
    </comment>
    <comment ref="N262" authorId="0" shapeId="0">
      <text>
        <r>
          <rPr>
            <b/>
            <sz val="8"/>
            <color indexed="81"/>
            <rFont val="Tahoma"/>
            <family val="2"/>
          </rPr>
          <t>Roeun Lim :</t>
        </r>
        <r>
          <rPr>
            <sz val="8"/>
            <color indexed="81"/>
            <rFont val="Tahoma"/>
            <family val="2"/>
          </rPr>
          <t xml:space="preserve">
"Consumer Deposit" on BS</t>
        </r>
      </text>
    </comment>
    <comment ref="O262" authorId="0" shapeId="0">
      <text>
        <r>
          <rPr>
            <b/>
            <sz val="8"/>
            <color indexed="81"/>
            <rFont val="Tahoma"/>
            <family val="2"/>
          </rPr>
          <t>Roeun Lim :</t>
        </r>
        <r>
          <rPr>
            <sz val="8"/>
            <color indexed="81"/>
            <rFont val="Tahoma"/>
            <family val="2"/>
          </rPr>
          <t xml:space="preserve">
"Consumer Deposit" on BS</t>
        </r>
      </text>
    </comment>
    <comment ref="P262" authorId="0" shapeId="0">
      <text>
        <r>
          <rPr>
            <b/>
            <sz val="8"/>
            <color indexed="81"/>
            <rFont val="Tahoma"/>
            <family val="2"/>
          </rPr>
          <t>Roeun Lim :</t>
        </r>
        <r>
          <rPr>
            <sz val="8"/>
            <color indexed="81"/>
            <rFont val="Tahoma"/>
            <family val="2"/>
          </rPr>
          <t xml:space="preserve">
"Consumer Deposit" on BS</t>
        </r>
      </text>
    </comment>
    <comment ref="Q262" authorId="0" shapeId="0">
      <text>
        <r>
          <rPr>
            <b/>
            <sz val="8"/>
            <color indexed="81"/>
            <rFont val="Tahoma"/>
            <family val="2"/>
          </rPr>
          <t>Roeun Lim :</t>
        </r>
        <r>
          <rPr>
            <sz val="8"/>
            <color indexed="81"/>
            <rFont val="Tahoma"/>
            <family val="2"/>
          </rPr>
          <t xml:space="preserve">
"Consumer Deposit" on BS</t>
        </r>
      </text>
    </comment>
    <comment ref="R262" authorId="0" shapeId="0">
      <text>
        <r>
          <rPr>
            <b/>
            <sz val="8"/>
            <color indexed="81"/>
            <rFont val="Tahoma"/>
            <family val="2"/>
          </rPr>
          <t>Roeun Lim :</t>
        </r>
        <r>
          <rPr>
            <sz val="8"/>
            <color indexed="81"/>
            <rFont val="Tahoma"/>
            <family val="2"/>
          </rPr>
          <t xml:space="preserve">
"Consumer Deposit" on BS</t>
        </r>
      </text>
    </comment>
    <comment ref="G263" authorId="0" shapeId="0">
      <text>
        <r>
          <rPr>
            <b/>
            <sz val="8"/>
            <color indexed="81"/>
            <rFont val="Tahoma"/>
            <family val="2"/>
          </rPr>
          <t>Roeun Lim :</t>
        </r>
        <r>
          <rPr>
            <sz val="8"/>
            <color indexed="81"/>
            <rFont val="Tahoma"/>
            <family val="2"/>
          </rPr>
          <t xml:space="preserve">
"Dividends declared" on BS</t>
        </r>
      </text>
    </comment>
    <comment ref="H263" authorId="0" shapeId="0">
      <text>
        <r>
          <rPr>
            <b/>
            <sz val="8"/>
            <color indexed="81"/>
            <rFont val="Tahoma"/>
            <family val="2"/>
          </rPr>
          <t>Roeun Lim :</t>
        </r>
        <r>
          <rPr>
            <sz val="8"/>
            <color indexed="81"/>
            <rFont val="Tahoma"/>
            <family val="2"/>
          </rPr>
          <t xml:space="preserve">
"Dividends declared" on BS</t>
        </r>
      </text>
    </comment>
    <comment ref="I263" authorId="0" shapeId="0">
      <text>
        <r>
          <rPr>
            <b/>
            <sz val="8"/>
            <color indexed="81"/>
            <rFont val="Tahoma"/>
            <family val="2"/>
          </rPr>
          <t>Roeun Lim :</t>
        </r>
        <r>
          <rPr>
            <sz val="8"/>
            <color indexed="81"/>
            <rFont val="Tahoma"/>
            <family val="2"/>
          </rPr>
          <t xml:space="preserve">
"Dividends declared" on BS</t>
        </r>
      </text>
    </comment>
    <comment ref="J263" authorId="0" shapeId="0">
      <text>
        <r>
          <rPr>
            <b/>
            <sz val="8"/>
            <color indexed="81"/>
            <rFont val="Tahoma"/>
            <family val="2"/>
          </rPr>
          <t>Roeun Lim :</t>
        </r>
        <r>
          <rPr>
            <sz val="8"/>
            <color indexed="81"/>
            <rFont val="Tahoma"/>
            <family val="2"/>
          </rPr>
          <t xml:space="preserve">
"Consumer Deposit" on BS</t>
        </r>
      </text>
    </comment>
    <comment ref="F265" authorId="0" shapeId="0">
      <text>
        <r>
          <rPr>
            <b/>
            <sz val="8"/>
            <color indexed="81"/>
            <rFont val="Tahoma"/>
            <family val="2"/>
          </rPr>
          <t>Roeun Lim :</t>
        </r>
        <r>
          <rPr>
            <sz val="8"/>
            <color indexed="81"/>
            <rFont val="Tahoma"/>
            <family val="2"/>
          </rPr>
          <t xml:space="preserve">
"Dividends declared" on BS</t>
        </r>
      </text>
    </comment>
    <comment ref="F266" authorId="0" shapeId="0">
      <text>
        <r>
          <rPr>
            <b/>
            <sz val="8"/>
            <color indexed="81"/>
            <rFont val="Tahoma"/>
            <family val="2"/>
          </rPr>
          <t>Roeun Lim :</t>
        </r>
        <r>
          <rPr>
            <sz val="8"/>
            <color indexed="81"/>
            <rFont val="Tahoma"/>
            <family val="2"/>
          </rPr>
          <t xml:space="preserve">
"Consumer Deposit" on BS</t>
        </r>
      </text>
    </comment>
    <comment ref="G266" authorId="0" shapeId="0">
      <text>
        <r>
          <rPr>
            <b/>
            <sz val="8"/>
            <color indexed="81"/>
            <rFont val="Tahoma"/>
            <family val="2"/>
          </rPr>
          <t>Roeun Lim :</t>
        </r>
        <r>
          <rPr>
            <sz val="8"/>
            <color indexed="81"/>
            <rFont val="Tahoma"/>
            <family val="2"/>
          </rPr>
          <t xml:space="preserve">
"Consumer Deposit" on BS</t>
        </r>
      </text>
    </comment>
    <comment ref="H266" authorId="0" shapeId="0">
      <text>
        <r>
          <rPr>
            <b/>
            <sz val="8"/>
            <color indexed="81"/>
            <rFont val="Tahoma"/>
            <family val="2"/>
          </rPr>
          <t>Roeun Lim :</t>
        </r>
        <r>
          <rPr>
            <sz val="8"/>
            <color indexed="81"/>
            <rFont val="Tahoma"/>
            <family val="2"/>
          </rPr>
          <t xml:space="preserve">
"Consumer Deposit" on BS</t>
        </r>
      </text>
    </comment>
    <comment ref="I266" authorId="0" shapeId="0">
      <text>
        <r>
          <rPr>
            <b/>
            <sz val="8"/>
            <color indexed="81"/>
            <rFont val="Tahoma"/>
            <family val="2"/>
          </rPr>
          <t>Roeun Lim :</t>
        </r>
        <r>
          <rPr>
            <sz val="8"/>
            <color indexed="81"/>
            <rFont val="Tahoma"/>
            <family val="2"/>
          </rPr>
          <t xml:space="preserve">
"Consumer Deposit" on BS</t>
        </r>
      </text>
    </comment>
    <comment ref="J266" authorId="0" shapeId="0">
      <text>
        <r>
          <rPr>
            <b/>
            <sz val="8"/>
            <color indexed="81"/>
            <rFont val="Tahoma"/>
            <family val="2"/>
          </rPr>
          <t>Roeun Lim :</t>
        </r>
        <r>
          <rPr>
            <sz val="8"/>
            <color indexed="81"/>
            <rFont val="Tahoma"/>
            <family val="2"/>
          </rPr>
          <t xml:space="preserve">
"Consumer Deposit" on BS</t>
        </r>
      </text>
    </comment>
    <comment ref="K266" authorId="0" shapeId="0">
      <text>
        <r>
          <rPr>
            <b/>
            <sz val="8"/>
            <color indexed="81"/>
            <rFont val="Tahoma"/>
            <family val="2"/>
          </rPr>
          <t>Roeun Lim :</t>
        </r>
        <r>
          <rPr>
            <sz val="8"/>
            <color indexed="81"/>
            <rFont val="Tahoma"/>
            <family val="2"/>
          </rPr>
          <t xml:space="preserve">
"Consumer Deposit" on BS</t>
        </r>
      </text>
    </comment>
    <comment ref="L266" authorId="0" shapeId="0">
      <text>
        <r>
          <rPr>
            <b/>
            <sz val="8"/>
            <color indexed="81"/>
            <rFont val="Tahoma"/>
            <family val="2"/>
          </rPr>
          <t>Roeun Lim :</t>
        </r>
        <r>
          <rPr>
            <sz val="8"/>
            <color indexed="81"/>
            <rFont val="Tahoma"/>
            <family val="2"/>
          </rPr>
          <t xml:space="preserve">
"Consumer Deposit" on BS</t>
        </r>
      </text>
    </comment>
    <comment ref="M266" authorId="0" shapeId="0">
      <text>
        <r>
          <rPr>
            <b/>
            <sz val="8"/>
            <color indexed="81"/>
            <rFont val="Tahoma"/>
            <family val="2"/>
          </rPr>
          <t>Roeun Lim :</t>
        </r>
        <r>
          <rPr>
            <sz val="8"/>
            <color indexed="81"/>
            <rFont val="Tahoma"/>
            <family val="2"/>
          </rPr>
          <t xml:space="preserve">
"Consumer Deposit" on BS</t>
        </r>
      </text>
    </comment>
    <comment ref="N266" authorId="0" shapeId="0">
      <text>
        <r>
          <rPr>
            <b/>
            <sz val="8"/>
            <color indexed="81"/>
            <rFont val="Tahoma"/>
            <family val="2"/>
          </rPr>
          <t>Roeun Lim :</t>
        </r>
        <r>
          <rPr>
            <sz val="8"/>
            <color indexed="81"/>
            <rFont val="Tahoma"/>
            <family val="2"/>
          </rPr>
          <t xml:space="preserve">
"Consumer Deposit" on BS</t>
        </r>
      </text>
    </comment>
    <comment ref="O266" authorId="0" shapeId="0">
      <text>
        <r>
          <rPr>
            <b/>
            <sz val="8"/>
            <color indexed="81"/>
            <rFont val="Tahoma"/>
            <family val="2"/>
          </rPr>
          <t>Roeun Lim :</t>
        </r>
        <r>
          <rPr>
            <sz val="8"/>
            <color indexed="81"/>
            <rFont val="Tahoma"/>
            <family val="2"/>
          </rPr>
          <t xml:space="preserve">
"Consumer Deposit" on BS</t>
        </r>
      </text>
    </comment>
    <comment ref="P266" authorId="0" shapeId="0">
      <text>
        <r>
          <rPr>
            <b/>
            <sz val="8"/>
            <color indexed="81"/>
            <rFont val="Tahoma"/>
            <family val="2"/>
          </rPr>
          <t>Roeun Lim :</t>
        </r>
        <r>
          <rPr>
            <sz val="8"/>
            <color indexed="81"/>
            <rFont val="Tahoma"/>
            <family val="2"/>
          </rPr>
          <t xml:space="preserve">
"Consumer Deposit" on BS</t>
        </r>
      </text>
    </comment>
    <comment ref="Q266" authorId="0" shapeId="0">
      <text>
        <r>
          <rPr>
            <b/>
            <sz val="8"/>
            <color indexed="81"/>
            <rFont val="Tahoma"/>
            <family val="2"/>
          </rPr>
          <t>Roeun Lim :</t>
        </r>
        <r>
          <rPr>
            <sz val="8"/>
            <color indexed="81"/>
            <rFont val="Tahoma"/>
            <family val="2"/>
          </rPr>
          <t xml:space="preserve">
"Consumer Deposit" on BS</t>
        </r>
      </text>
    </comment>
    <comment ref="R266" authorId="0" shapeId="0">
      <text>
        <r>
          <rPr>
            <b/>
            <sz val="8"/>
            <color indexed="81"/>
            <rFont val="Tahoma"/>
            <family val="2"/>
          </rPr>
          <t>Roeun Lim :</t>
        </r>
        <r>
          <rPr>
            <sz val="8"/>
            <color indexed="81"/>
            <rFont val="Tahoma"/>
            <family val="2"/>
          </rPr>
          <t xml:space="preserve">
"Consumer Deposit" on BS</t>
        </r>
      </text>
    </comment>
    <comment ref="S266" authorId="0" shapeId="0">
      <text>
        <r>
          <rPr>
            <b/>
            <sz val="8"/>
            <color indexed="81"/>
            <rFont val="Tahoma"/>
            <family val="2"/>
          </rPr>
          <t>Roeun Lim :</t>
        </r>
        <r>
          <rPr>
            <sz val="8"/>
            <color indexed="81"/>
            <rFont val="Tahoma"/>
            <family val="2"/>
          </rPr>
          <t xml:space="preserve">
"Consumer Deposit" on BS</t>
        </r>
      </text>
    </comment>
    <comment ref="K275" authorId="0" shapeId="0">
      <text>
        <r>
          <rPr>
            <b/>
            <sz val="8"/>
            <color indexed="81"/>
            <rFont val="Tahoma"/>
            <family val="2"/>
          </rPr>
          <t>Roeun Lim :</t>
        </r>
        <r>
          <rPr>
            <sz val="8"/>
            <color indexed="81"/>
            <rFont val="Tahoma"/>
            <family val="2"/>
          </rPr>
          <t xml:space="preserve">
"Natural gas cost recoverable thru rate adjustment" on BS
</t>
        </r>
      </text>
    </comment>
    <comment ref="L275" authorId="0" shapeId="0">
      <text>
        <r>
          <rPr>
            <b/>
            <sz val="8"/>
            <color indexed="81"/>
            <rFont val="Tahoma"/>
            <family val="2"/>
          </rPr>
          <t>Roeun Lim :</t>
        </r>
        <r>
          <rPr>
            <sz val="8"/>
            <color indexed="81"/>
            <rFont val="Tahoma"/>
            <family val="2"/>
          </rPr>
          <t xml:space="preserve">
"Natural gas cost recoverable thru rate adjustment" on BS
</t>
        </r>
      </text>
    </comment>
    <comment ref="M275" authorId="0" shapeId="0">
      <text>
        <r>
          <rPr>
            <b/>
            <sz val="8"/>
            <color indexed="81"/>
            <rFont val="Tahoma"/>
            <family val="2"/>
          </rPr>
          <t>Roeun Lim :</t>
        </r>
        <r>
          <rPr>
            <sz val="8"/>
            <color indexed="81"/>
            <rFont val="Tahoma"/>
            <family val="2"/>
          </rPr>
          <t xml:space="preserve">
"Natural gas cost recoverable thru rate adjustment" on BS
</t>
        </r>
      </text>
    </comment>
    <comment ref="N275" authorId="0" shapeId="0">
      <text>
        <r>
          <rPr>
            <b/>
            <sz val="8"/>
            <color indexed="81"/>
            <rFont val="Tahoma"/>
            <family val="2"/>
          </rPr>
          <t>Roeun Lim :</t>
        </r>
        <r>
          <rPr>
            <sz val="8"/>
            <color indexed="81"/>
            <rFont val="Tahoma"/>
            <family val="2"/>
          </rPr>
          <t xml:space="preserve">
"Natural gas cost recoverable thru rate adjustment" on BS
</t>
        </r>
      </text>
    </comment>
    <comment ref="O275" authorId="0" shapeId="0">
      <text>
        <r>
          <rPr>
            <b/>
            <sz val="8"/>
            <color indexed="81"/>
            <rFont val="Tahoma"/>
            <family val="2"/>
          </rPr>
          <t>Roeun Lim :</t>
        </r>
        <r>
          <rPr>
            <sz val="8"/>
            <color indexed="81"/>
            <rFont val="Tahoma"/>
            <family val="2"/>
          </rPr>
          <t xml:space="preserve">
"Natural gas cost recoverable thru rate adjustment" on BS
</t>
        </r>
      </text>
    </comment>
    <comment ref="P275" authorId="0" shapeId="0">
      <text>
        <r>
          <rPr>
            <b/>
            <sz val="8"/>
            <color indexed="81"/>
            <rFont val="Tahoma"/>
            <family val="2"/>
          </rPr>
          <t>Roeun Lim :</t>
        </r>
        <r>
          <rPr>
            <sz val="8"/>
            <color indexed="81"/>
            <rFont val="Tahoma"/>
            <family val="2"/>
          </rPr>
          <t xml:space="preserve">
"Natural gas cost recoverable thru rate adjustment" on BS
</t>
        </r>
      </text>
    </comment>
    <comment ref="Q275" authorId="0" shapeId="0">
      <text>
        <r>
          <rPr>
            <b/>
            <sz val="8"/>
            <color indexed="81"/>
            <rFont val="Tahoma"/>
            <family val="2"/>
          </rPr>
          <t>Roeun Lim :</t>
        </r>
        <r>
          <rPr>
            <sz val="8"/>
            <color indexed="81"/>
            <rFont val="Tahoma"/>
            <family val="2"/>
          </rPr>
          <t xml:space="preserve">
"Natural gas cost recoverable thru rate adjustment" on BS
</t>
        </r>
      </text>
    </comment>
    <comment ref="R275" authorId="0" shapeId="0">
      <text>
        <r>
          <rPr>
            <b/>
            <sz val="8"/>
            <color indexed="81"/>
            <rFont val="Tahoma"/>
            <family val="2"/>
          </rPr>
          <t>Roeun Lim :</t>
        </r>
        <r>
          <rPr>
            <sz val="8"/>
            <color indexed="81"/>
            <rFont val="Tahoma"/>
            <family val="2"/>
          </rPr>
          <t xml:space="preserve">
"Natural gas cost recoverable thru rate adjustment" on BS
</t>
        </r>
      </text>
    </comment>
    <comment ref="J276" authorId="0" shapeId="0">
      <text>
        <r>
          <rPr>
            <b/>
            <sz val="8"/>
            <color indexed="81"/>
            <rFont val="Tahoma"/>
            <family val="2"/>
          </rPr>
          <t>Roeun Lim :</t>
        </r>
        <r>
          <rPr>
            <sz val="8"/>
            <color indexed="81"/>
            <rFont val="Tahoma"/>
            <family val="2"/>
          </rPr>
          <t xml:space="preserve">
"Natural gas cost recoverable thru rate adjustment" on BS
</t>
        </r>
      </text>
    </comment>
    <comment ref="G277" authorId="0" shapeId="0">
      <text>
        <r>
          <rPr>
            <b/>
            <sz val="8"/>
            <color indexed="81"/>
            <rFont val="Tahoma"/>
            <family val="2"/>
          </rPr>
          <t>Roeun Lim :</t>
        </r>
        <r>
          <rPr>
            <sz val="8"/>
            <color indexed="81"/>
            <rFont val="Tahoma"/>
            <family val="2"/>
          </rPr>
          <t xml:space="preserve">
"Natural gas cost recoverable thru rate adjustment" on BS
</t>
        </r>
      </text>
    </comment>
    <comment ref="H277" authorId="0" shapeId="0">
      <text>
        <r>
          <rPr>
            <b/>
            <sz val="8"/>
            <color indexed="81"/>
            <rFont val="Tahoma"/>
            <family val="2"/>
          </rPr>
          <t>Roeun Lim :</t>
        </r>
        <r>
          <rPr>
            <sz val="8"/>
            <color indexed="81"/>
            <rFont val="Tahoma"/>
            <family val="2"/>
          </rPr>
          <t xml:space="preserve">
"Natural gas cost recoverable thru rate adjustment" on BS
</t>
        </r>
      </text>
    </comment>
    <comment ref="I277" authorId="0" shapeId="0">
      <text>
        <r>
          <rPr>
            <b/>
            <sz val="8"/>
            <color indexed="81"/>
            <rFont val="Tahoma"/>
            <family val="2"/>
          </rPr>
          <t>Roeun Lim :</t>
        </r>
        <r>
          <rPr>
            <sz val="8"/>
            <color indexed="81"/>
            <rFont val="Tahoma"/>
            <family val="2"/>
          </rPr>
          <t xml:space="preserve">
"Natural gas cost recoverable thru rate adjustment" on BS
</t>
        </r>
      </text>
    </comment>
    <comment ref="F279"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<sst xmlns="http://schemas.openxmlformats.org/spreadsheetml/2006/main" count="4301" uniqueCount="2336">
  <si>
    <t>Results Per</t>
  </si>
  <si>
    <t>Adjustments</t>
  </si>
  <si>
    <t>(1)</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</si>
  <si>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</si>
  <si>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</si>
  <si>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</si>
  <si>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</si>
  <si>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</si>
  <si>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</si>
  <si>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</si>
  <si>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</si>
  <si>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</si>
  <si>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</si>
  <si>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</si>
  <si>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</si>
  <si>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</si>
  <si>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  Revenues</t>
  </si>
  <si>
    <t>Operating Revenue Deductions</t>
  </si>
  <si>
    <t>Uncollectible Accounts</t>
  </si>
  <si>
    <t>Interest expense</t>
  </si>
  <si>
    <t>State Taxable Income</t>
  </si>
  <si>
    <t>State Income Tax</t>
  </si>
  <si>
    <t>Federal Taxable Income</t>
  </si>
  <si>
    <t>Total Revenue Sensitive Costs</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</si>
  <si>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</si>
  <si>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</si>
  <si>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</si>
  <si>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</si>
  <si>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</si>
  <si>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</si>
  <si>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</si>
  <si>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</si>
  <si>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</si>
  <si>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</si>
  <si>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</si>
  <si>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</si>
  <si>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</si>
  <si>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</si>
  <si>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</si>
  <si>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</si>
  <si>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</si>
  <si>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</si>
  <si>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</si>
  <si>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</si>
  <si>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</si>
  <si>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</si>
  <si>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</si>
  <si>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</si>
  <si>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</si>
  <si>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</si>
  <si>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</si>
  <si>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</si>
  <si>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</si>
  <si>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Cascade Natural Gas Corporation</t>
  </si>
  <si>
    <t>Promotional</t>
  </si>
  <si>
    <t>Adjustment</t>
  </si>
  <si>
    <t xml:space="preserve">Interest </t>
  </si>
  <si>
    <t>Coordination</t>
  </si>
  <si>
    <t>Additions</t>
  </si>
  <si>
    <t>Rate Case</t>
  </si>
  <si>
    <t>Costs</t>
  </si>
  <si>
    <t>Total Income Taxes</t>
  </si>
  <si>
    <t>Test Year</t>
  </si>
  <si>
    <t xml:space="preserve">Adjusted </t>
  </si>
  <si>
    <t>Increase</t>
  </si>
  <si>
    <t>Adjusted Rate Base</t>
  </si>
  <si>
    <t>Required Return (ln 1 x ln 2)</t>
  </si>
  <si>
    <t>Adjusted Net Income</t>
  </si>
  <si>
    <t>Conversion Factor</t>
  </si>
  <si>
    <t>Revenue Increase Required (ln 5 / ln 6)</t>
  </si>
  <si>
    <t>Required Net Income Increase (ln 3 - ln 4)</t>
  </si>
  <si>
    <t>Summary</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</si>
  <si>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</si>
  <si>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</si>
  <si>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</si>
  <si>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</si>
  <si>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</si>
  <si>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</si>
  <si>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</si>
  <si>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</si>
  <si>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</si>
  <si>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</si>
  <si>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</si>
  <si>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</si>
  <si>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</si>
  <si>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</si>
  <si>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</si>
  <si>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</si>
  <si>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</si>
  <si>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</si>
  <si>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</si>
  <si>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</si>
  <si>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</si>
  <si>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</si>
  <si>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</si>
  <si>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</si>
  <si>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</si>
  <si>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</si>
  <si>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</si>
  <si>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</si>
  <si>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</si>
  <si>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</si>
  <si>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</si>
  <si>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</si>
  <si>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</si>
  <si>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</si>
  <si>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</si>
  <si>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</si>
  <si>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</si>
  <si>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</si>
  <si>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</si>
  <si>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</si>
  <si>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</si>
  <si>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</si>
  <si>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</si>
  <si>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</si>
  <si>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</si>
  <si>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</si>
  <si>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</si>
  <si>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</si>
  <si>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</si>
  <si>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</si>
  <si>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</si>
  <si>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</si>
  <si>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</si>
  <si>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</si>
  <si>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</si>
  <si>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</si>
  <si>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</si>
  <si>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</si>
  <si>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</si>
  <si>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</si>
  <si>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</si>
  <si>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</si>
  <si>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</si>
  <si>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</si>
  <si>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</si>
  <si>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</si>
  <si>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</si>
  <si>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</si>
  <si>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</si>
  <si>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</si>
  <si>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</si>
  <si>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</si>
  <si>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</si>
  <si>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</si>
  <si>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</si>
  <si>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</si>
  <si>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</si>
  <si>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</si>
  <si>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</si>
  <si>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</si>
  <si>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</si>
  <si>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</si>
  <si>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</si>
  <si>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</si>
  <si>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</si>
  <si>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</si>
  <si>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</si>
  <si>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</si>
  <si>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</si>
  <si>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</si>
  <si>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</si>
  <si>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</si>
  <si>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</si>
  <si>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</si>
  <si>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</si>
  <si>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</si>
  <si>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</si>
  <si>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</si>
  <si>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</si>
  <si>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</si>
  <si>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</si>
  <si>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</si>
  <si>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</si>
  <si>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</si>
  <si>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</si>
  <si>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</si>
  <si>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</si>
  <si>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</si>
  <si>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</si>
  <si>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</si>
  <si>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</si>
  <si>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</si>
  <si>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</si>
  <si>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</si>
  <si>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</si>
  <si>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</si>
  <si>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</si>
  <si>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</si>
  <si>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</si>
  <si>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</si>
  <si>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</si>
  <si>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</si>
  <si>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</si>
  <si>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</si>
  <si>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</si>
  <si>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</si>
  <si>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</si>
  <si>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</si>
  <si>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</si>
  <si>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</si>
  <si>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</si>
  <si>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</si>
  <si>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</si>
  <si>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</si>
  <si>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</si>
  <si>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</si>
  <si>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</si>
  <si>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</si>
  <si>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</si>
  <si>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</si>
  <si>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</si>
  <si>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</si>
  <si>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</si>
  <si>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</si>
  <si>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</si>
  <si>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</si>
  <si>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</si>
  <si>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</si>
  <si>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</si>
  <si>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</si>
  <si>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</si>
  <si>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</si>
  <si>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</si>
  <si>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</si>
  <si>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</si>
  <si>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</si>
  <si>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</si>
  <si>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</si>
  <si>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</si>
  <si>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</si>
  <si>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</si>
  <si>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</si>
  <si>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</si>
  <si>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</si>
  <si>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</si>
  <si>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</si>
  <si>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</si>
  <si>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</si>
  <si>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</si>
  <si>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</si>
  <si>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</si>
  <si>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</si>
  <si>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</si>
  <si>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</si>
  <si>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</si>
  <si>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</si>
  <si>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</si>
  <si>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</si>
  <si>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</si>
  <si>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</si>
  <si>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</si>
  <si>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</si>
  <si>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</si>
  <si>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</si>
  <si>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</si>
  <si>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</si>
  <si>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</si>
  <si>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</si>
  <si>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</si>
  <si>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</si>
  <si>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</si>
  <si>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</si>
  <si>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</si>
  <si>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</si>
  <si>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</si>
  <si>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</si>
  <si>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</si>
  <si>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</si>
  <si>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</si>
  <si>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</si>
  <si>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</si>
  <si>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</si>
  <si>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</si>
  <si>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</si>
  <si>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</si>
  <si>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</si>
  <si>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</si>
  <si>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</si>
  <si>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</si>
  <si>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</si>
  <si>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</si>
  <si>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</si>
  <si>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</si>
  <si>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</si>
  <si>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</si>
  <si>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</si>
  <si>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</si>
  <si>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</si>
  <si>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</si>
  <si>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</si>
  <si>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</si>
  <si>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</si>
  <si>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</si>
  <si>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</si>
  <si>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</si>
  <si>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</si>
  <si>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</si>
  <si>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</si>
  <si>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</si>
  <si>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</si>
  <si>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</si>
  <si>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</si>
  <si>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</si>
  <si>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</si>
  <si>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</si>
  <si>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</si>
  <si>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</si>
  <si>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</si>
  <si>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</si>
  <si>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</si>
  <si>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</si>
  <si>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</si>
  <si>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</si>
  <si>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</si>
  <si>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</si>
  <si>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</si>
  <si>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</si>
  <si>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</si>
  <si>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</si>
  <si>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</si>
  <si>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</si>
  <si>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</si>
  <si>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</si>
  <si>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</si>
  <si>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</si>
  <si>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</si>
  <si>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</si>
  <si>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</si>
  <si>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</si>
  <si>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</si>
  <si>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</si>
  <si>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</si>
  <si>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</si>
  <si>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</si>
  <si>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</si>
  <si>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</si>
  <si>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</si>
  <si>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</si>
  <si>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</si>
  <si>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</si>
  <si>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</si>
  <si>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</si>
  <si>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</si>
  <si>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</si>
  <si>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</si>
  <si>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</si>
  <si>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</si>
  <si>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</si>
  <si>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</si>
  <si>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</si>
  <si>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</si>
  <si>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</si>
  <si>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</si>
  <si>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</si>
  <si>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</si>
  <si>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</si>
  <si>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</si>
  <si>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</si>
  <si>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</si>
  <si>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</si>
  <si>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</si>
  <si>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</si>
  <si>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</si>
  <si>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</si>
  <si>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</si>
  <si>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</si>
  <si>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</si>
  <si>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</si>
  <si>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</si>
  <si>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</si>
  <si>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</si>
  <si>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</si>
  <si>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</si>
  <si>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</si>
  <si>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</si>
  <si>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</si>
  <si>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</si>
  <si>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</si>
  <si>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</si>
  <si>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</si>
  <si>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</si>
  <si>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</si>
  <si>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</si>
  <si>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</si>
  <si>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</si>
  <si>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</si>
  <si>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</si>
  <si>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</si>
  <si>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</si>
  <si>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</si>
  <si>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</si>
  <si>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</si>
  <si>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</si>
  <si>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</si>
  <si>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</si>
  <si>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</si>
  <si>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</si>
  <si>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</si>
  <si>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</si>
  <si>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</si>
  <si>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</si>
  <si>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</si>
  <si>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</si>
  <si>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</si>
  <si>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</si>
  <si>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</si>
  <si>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</si>
  <si>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</si>
  <si>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</si>
  <si>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</si>
  <si>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</si>
  <si>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</si>
  <si>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</si>
  <si>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</si>
  <si>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</si>
  <si>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</si>
  <si>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</si>
  <si>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</si>
  <si>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</si>
  <si>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</si>
  <si>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</si>
  <si>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</si>
  <si>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</si>
  <si>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</si>
  <si>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</si>
  <si>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</si>
  <si>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</si>
  <si>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</si>
  <si>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</si>
  <si>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</si>
  <si>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</si>
  <si>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</si>
  <si>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</si>
  <si>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</si>
  <si>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</si>
  <si>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</si>
  <si>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</si>
  <si>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</si>
  <si>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</si>
  <si>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</si>
  <si>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</si>
  <si>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</si>
  <si>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</si>
  <si>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</si>
  <si>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</si>
  <si>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</si>
  <si>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</si>
  <si>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</si>
  <si>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</si>
  <si>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</si>
  <si>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</si>
  <si>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</si>
  <si>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</si>
  <si>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</si>
  <si>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</si>
  <si>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</si>
  <si>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</si>
  <si>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</si>
  <si>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</si>
  <si>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</si>
  <si>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</si>
  <si>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</si>
  <si>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</si>
  <si>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</si>
  <si>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</si>
  <si>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</si>
  <si>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</si>
  <si>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</si>
  <si>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</si>
  <si>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</si>
  <si>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</si>
  <si>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</si>
  <si>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</si>
  <si>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</si>
  <si>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</si>
  <si>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</si>
  <si>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</si>
  <si>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</si>
  <si>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</si>
  <si>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</si>
  <si>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</si>
  <si>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</si>
  <si>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</si>
  <si>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</si>
  <si>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</si>
  <si>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</si>
  <si>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</si>
  <si>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</si>
  <si>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</si>
  <si>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</si>
  <si>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</si>
  <si>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</si>
  <si>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</si>
  <si>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</si>
  <si>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</si>
  <si>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</si>
  <si>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</si>
  <si>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</si>
  <si>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</si>
  <si>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</si>
  <si>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</si>
  <si>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</si>
  <si>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</si>
  <si>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</si>
  <si>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</si>
  <si>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</si>
  <si>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</si>
  <si>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</si>
  <si>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</si>
  <si>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</si>
  <si>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</si>
  <si>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</si>
  <si>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</si>
  <si>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</si>
  <si>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</si>
  <si>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</si>
  <si>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</si>
  <si>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</si>
  <si>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</si>
  <si>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</si>
  <si>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</si>
  <si>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</si>
  <si>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</si>
  <si>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</si>
  <si>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</si>
  <si>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</si>
  <si>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</si>
  <si>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</si>
  <si>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</si>
  <si>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</si>
  <si>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</si>
  <si>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</si>
  <si>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</si>
  <si>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</si>
  <si>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</si>
  <si>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</si>
  <si>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</si>
  <si>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</si>
  <si>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</si>
  <si>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</si>
  <si>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</si>
  <si>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</si>
  <si>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</si>
  <si>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</si>
  <si>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</si>
  <si>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</si>
  <si>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</si>
  <si>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</si>
  <si>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</si>
  <si>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</si>
  <si>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</si>
  <si>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</si>
  <si>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</si>
  <si>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</si>
  <si>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</si>
  <si>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</si>
  <si>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</si>
  <si>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</si>
  <si>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</si>
  <si>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</si>
  <si>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</si>
  <si>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</si>
  <si>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</si>
  <si>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</si>
  <si>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</si>
  <si>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</si>
  <si>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</si>
  <si>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</si>
  <si>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</si>
  <si>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</si>
  <si>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</si>
  <si>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</si>
  <si>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</si>
  <si>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</si>
  <si>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</si>
  <si>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</si>
  <si>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</si>
  <si>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</si>
  <si>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</si>
  <si>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</si>
  <si>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</si>
  <si>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</si>
  <si>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</si>
  <si>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</si>
  <si>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</si>
  <si>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</si>
  <si>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</si>
  <si>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</si>
  <si>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</si>
  <si>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</si>
  <si>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</si>
  <si>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</si>
  <si>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</si>
  <si>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</si>
  <si>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</si>
  <si>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</si>
  <si>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</si>
  <si>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</si>
  <si>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</si>
  <si>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</si>
  <si>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</si>
  <si>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</si>
  <si>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</si>
  <si>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</si>
  <si>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</si>
  <si>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</si>
  <si>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</si>
  <si>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</si>
  <si>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</si>
  <si>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</si>
  <si>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</si>
  <si>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</si>
  <si>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</si>
  <si>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</si>
  <si>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</si>
  <si>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</si>
  <si>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</si>
  <si>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</si>
  <si>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</si>
  <si>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</si>
  <si>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</si>
  <si>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</si>
  <si>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</si>
  <si>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</si>
  <si>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</si>
  <si>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</si>
  <si>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</si>
  <si>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</si>
  <si>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</si>
  <si>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</si>
  <si>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</si>
  <si>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</si>
  <si>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</si>
  <si>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</si>
  <si>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</si>
  <si>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</si>
  <si>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</si>
  <si>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</si>
  <si>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</si>
  <si>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</si>
  <si>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</si>
  <si>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</si>
  <si>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</si>
  <si>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</si>
  <si>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</si>
  <si>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</si>
  <si>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</si>
  <si>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</si>
  <si>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</si>
  <si>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</si>
  <si>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</si>
  <si>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</si>
  <si>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</si>
  <si>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</si>
  <si>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</si>
  <si>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</si>
  <si>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</si>
  <si>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</si>
  <si>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</si>
  <si>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</si>
  <si>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</si>
  <si>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</si>
  <si>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</si>
  <si>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</si>
  <si>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</si>
  <si>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</si>
  <si>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</si>
  <si>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</si>
  <si>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</si>
  <si>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</si>
  <si>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</si>
  <si>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</si>
  <si>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</si>
  <si>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</si>
  <si>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</si>
  <si>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</si>
  <si>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</si>
  <si>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</si>
  <si>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</si>
  <si>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</si>
  <si>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</si>
  <si>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</si>
  <si>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</si>
  <si>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</si>
  <si>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</si>
  <si>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</si>
  <si>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</si>
  <si>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</si>
  <si>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</si>
  <si>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</si>
  <si>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</si>
  <si>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</si>
  <si>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</si>
  <si>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</si>
  <si>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</si>
  <si>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</si>
  <si>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</si>
  <si>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</si>
  <si>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</si>
  <si>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</si>
  <si>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</si>
  <si>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</si>
  <si>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</si>
  <si>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</si>
  <si>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</si>
  <si>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</si>
  <si>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</si>
  <si>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</si>
  <si>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</si>
  <si>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</si>
  <si>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</si>
  <si>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</si>
  <si>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</si>
  <si>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</si>
  <si>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</si>
  <si>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</si>
  <si>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</si>
  <si>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</si>
  <si>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</si>
  <si>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</si>
  <si>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</si>
  <si>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</si>
  <si>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</si>
  <si>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</si>
  <si>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</si>
  <si>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</si>
  <si>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</si>
  <si>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</si>
  <si>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</si>
  <si>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</si>
  <si>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</si>
  <si>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</si>
  <si>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</si>
  <si>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</si>
  <si>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</si>
  <si>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</si>
  <si>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</si>
  <si>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</si>
  <si>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</si>
  <si>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</si>
  <si>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</si>
  <si>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</si>
  <si>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</si>
  <si>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</si>
  <si>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</si>
  <si>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</si>
  <si>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</si>
  <si>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</si>
  <si>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</si>
  <si>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</si>
  <si>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</si>
  <si>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</si>
  <si>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</si>
  <si>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</si>
  <si>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</si>
  <si>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</si>
  <si>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</si>
  <si>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</si>
  <si>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</si>
  <si>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</si>
  <si>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</si>
  <si>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</si>
  <si>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</si>
  <si>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</si>
  <si>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</si>
  <si>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</si>
  <si>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</si>
  <si>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</si>
  <si>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</si>
  <si>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</si>
  <si>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</si>
  <si>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</si>
  <si>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</si>
  <si>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</si>
  <si>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</si>
  <si>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</si>
  <si>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</si>
  <si>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</si>
  <si>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</si>
  <si>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</si>
  <si>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</si>
  <si>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</si>
  <si>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</si>
  <si>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</si>
  <si>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</si>
  <si>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</si>
  <si>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</si>
  <si>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</si>
  <si>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</si>
  <si>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</si>
  <si>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</si>
  <si>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</si>
  <si>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</si>
  <si>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</si>
  <si>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</si>
  <si>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</si>
  <si>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</si>
  <si>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</si>
  <si>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</si>
  <si>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</si>
  <si>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</si>
  <si>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</si>
  <si>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</si>
  <si>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</si>
  <si>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</si>
  <si>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</si>
  <si>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</si>
  <si>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</si>
  <si>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</si>
  <si>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</si>
  <si>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</si>
  <si>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</si>
  <si>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</si>
  <si>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</si>
  <si>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</si>
  <si>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</si>
  <si>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</si>
  <si>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</si>
  <si>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</si>
  <si>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</si>
  <si>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</si>
  <si>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</si>
  <si>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</si>
  <si>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</si>
  <si>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</si>
  <si>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</si>
  <si>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</si>
  <si>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</si>
  <si>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</si>
  <si>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</si>
  <si>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</si>
  <si>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</si>
  <si>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</si>
  <si>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</si>
  <si>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</si>
  <si>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</si>
  <si>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</si>
  <si>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</si>
  <si>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</si>
  <si>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</si>
  <si>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</si>
  <si>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</si>
  <si>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</si>
  <si>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</si>
  <si>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</si>
  <si>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</si>
  <si>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</si>
  <si>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</si>
  <si>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</si>
  <si>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</si>
  <si>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</si>
  <si>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</si>
  <si>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</si>
  <si>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</si>
  <si>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</si>
  <si>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</si>
  <si>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</si>
  <si>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</si>
  <si>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</si>
  <si>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</si>
  <si>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</si>
  <si>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</si>
  <si>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</si>
  <si>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</si>
  <si>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</si>
  <si>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</si>
  <si>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</si>
  <si>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</si>
  <si>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</si>
  <si>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</si>
  <si>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</si>
  <si>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</si>
  <si>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</si>
  <si>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</si>
  <si>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</si>
  <si>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</si>
  <si>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</si>
  <si>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</si>
  <si>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</si>
  <si>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</si>
  <si>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</si>
  <si>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</si>
  <si>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</si>
  <si>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</si>
  <si>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</si>
  <si>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</si>
  <si>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</si>
  <si>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</si>
  <si>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</si>
  <si>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</si>
  <si>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</si>
  <si>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</si>
  <si>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</si>
  <si>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</si>
  <si>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</si>
  <si>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</si>
  <si>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</si>
  <si>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</si>
  <si>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</si>
  <si>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</si>
  <si>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</si>
  <si>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</si>
  <si>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</si>
  <si>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</si>
  <si>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</si>
  <si>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</si>
  <si>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</si>
  <si>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</si>
  <si>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</si>
  <si>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</si>
  <si>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</si>
  <si>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</si>
  <si>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</si>
  <si>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</si>
  <si>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</si>
  <si>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</si>
  <si>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</si>
  <si>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</si>
  <si>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</si>
  <si>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</si>
  <si>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</si>
  <si>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</si>
  <si>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</si>
  <si>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</si>
  <si>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</si>
  <si>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</si>
  <si>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</si>
  <si>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</si>
  <si>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</si>
  <si>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</si>
  <si>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</si>
  <si>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</si>
  <si>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</si>
  <si>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</si>
  <si>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</si>
  <si>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</si>
  <si>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</si>
  <si>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</si>
  <si>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</si>
  <si>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</si>
  <si>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</si>
  <si>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</si>
  <si>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</si>
  <si>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</si>
  <si>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</si>
  <si>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</si>
  <si>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</si>
  <si>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</si>
  <si>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</si>
  <si>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</si>
  <si>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</si>
  <si>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</si>
  <si>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</si>
  <si>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</si>
  <si>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</si>
  <si>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</si>
  <si>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</si>
  <si>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</si>
  <si>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</si>
  <si>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</si>
  <si>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</si>
  <si>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</si>
  <si>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</si>
  <si>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</si>
  <si>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</si>
  <si>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</si>
  <si>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</si>
  <si>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</si>
  <si>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</si>
  <si>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</si>
  <si>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</si>
  <si>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</si>
  <si>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</si>
  <si>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</si>
  <si>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</si>
  <si>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</si>
  <si>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</si>
  <si>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</si>
  <si>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</si>
  <si>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</si>
  <si>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</si>
  <si>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</si>
  <si>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</si>
  <si>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</si>
  <si>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</si>
  <si>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</si>
  <si>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</si>
  <si>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</si>
  <si>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</si>
  <si>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</si>
  <si>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</si>
  <si>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</si>
  <si>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</si>
  <si>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</si>
  <si>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</si>
  <si>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</si>
  <si>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</si>
  <si>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</si>
  <si>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</si>
  <si>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</si>
  <si>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</si>
  <si>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</si>
  <si>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</si>
  <si>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</si>
  <si>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</si>
  <si>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</si>
  <si>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</si>
  <si>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</si>
  <si>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</si>
  <si>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</si>
  <si>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</si>
  <si>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</si>
  <si>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</si>
  <si>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</si>
  <si>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</si>
  <si>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</si>
  <si>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</si>
  <si>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</si>
  <si>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</si>
  <si>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</si>
  <si>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</si>
  <si>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</si>
  <si>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</si>
  <si>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</si>
  <si>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</si>
  <si>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</si>
  <si>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</si>
  <si>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</si>
  <si>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</si>
  <si>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</si>
  <si>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</si>
  <si>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</si>
  <si>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</si>
  <si>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</si>
  <si>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</si>
  <si>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</si>
  <si>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</si>
  <si>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</si>
  <si>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</si>
  <si>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</si>
  <si>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</si>
  <si>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</si>
  <si>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</si>
  <si>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</si>
  <si>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</si>
  <si>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</si>
  <si>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</si>
  <si>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</si>
  <si>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</si>
  <si>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</si>
  <si>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</si>
  <si>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</si>
  <si>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</si>
  <si>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</si>
  <si>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</si>
  <si>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</si>
  <si>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</si>
  <si>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</si>
  <si>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</si>
  <si>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</si>
  <si>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</si>
  <si>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</si>
  <si>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</si>
  <si>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</si>
  <si>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</si>
  <si>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</si>
  <si>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</si>
  <si>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</si>
  <si>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</si>
  <si>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</si>
  <si>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</si>
  <si>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</si>
  <si>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</si>
  <si>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</si>
  <si>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</si>
  <si>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</si>
  <si>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</si>
  <si>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</si>
  <si>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</si>
  <si>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</si>
  <si>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</si>
  <si>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</si>
  <si>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</si>
  <si>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</si>
  <si>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</si>
  <si>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</si>
  <si>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</si>
  <si>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</si>
  <si>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</si>
  <si>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</si>
  <si>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</si>
  <si>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</si>
  <si>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</si>
  <si>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</si>
  <si>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</si>
  <si>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</si>
  <si>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</si>
  <si>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</si>
  <si>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</si>
  <si>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</si>
  <si>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</si>
  <si>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</si>
  <si>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</si>
  <si>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</si>
  <si>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</si>
  <si>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</si>
  <si>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</si>
  <si>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</si>
  <si>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</si>
  <si>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</si>
  <si>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</si>
  <si>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</si>
  <si>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</si>
  <si>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</si>
  <si>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</si>
  <si>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</si>
  <si>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</si>
  <si>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</si>
  <si>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</si>
  <si>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</si>
  <si>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</si>
  <si>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</si>
  <si>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</si>
  <si>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</si>
  <si>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</si>
  <si>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</si>
  <si>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</si>
  <si>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</si>
  <si>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</si>
  <si>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</si>
  <si>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</si>
  <si>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</si>
  <si>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</si>
  <si>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</si>
  <si>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</si>
  <si>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</si>
  <si>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</si>
  <si>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</si>
  <si>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</si>
  <si>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</si>
  <si>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</si>
  <si>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</si>
  <si>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</si>
  <si>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</si>
  <si>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</si>
  <si>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</si>
  <si>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</si>
  <si>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</si>
  <si>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</si>
  <si>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</si>
  <si>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</si>
  <si>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</si>
  <si>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</si>
  <si>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</si>
  <si>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</si>
  <si>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</si>
  <si>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</si>
  <si>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</si>
  <si>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</si>
  <si>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</si>
  <si>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</si>
  <si>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</si>
  <si>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</si>
  <si>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</si>
  <si>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</si>
  <si>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</si>
  <si>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</si>
  <si>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</si>
  <si>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</si>
  <si>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</si>
  <si>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</si>
  <si>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</si>
  <si>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</si>
  <si>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</si>
  <si>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</si>
  <si>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</si>
  <si>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</si>
  <si>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</si>
  <si>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</si>
  <si>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</si>
  <si>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</si>
  <si>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</si>
  <si>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</si>
  <si>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</si>
  <si>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</si>
  <si>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</si>
  <si>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</si>
  <si>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</si>
  <si>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</si>
  <si>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</si>
  <si>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</si>
  <si>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</si>
  <si>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</si>
  <si>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</si>
  <si>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</si>
  <si>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</si>
  <si>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</si>
  <si>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</si>
  <si>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</si>
  <si>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</si>
  <si>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</si>
  <si>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</si>
  <si>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</si>
  <si>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</si>
  <si>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</si>
  <si>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</si>
  <si>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</si>
  <si>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</si>
  <si>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</si>
  <si>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</si>
  <si>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</si>
  <si>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</si>
  <si>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</si>
  <si>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</si>
  <si>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</si>
  <si>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</si>
  <si>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</si>
  <si>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</si>
  <si>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</si>
  <si>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</si>
  <si>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</si>
  <si>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</si>
  <si>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</si>
  <si>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</si>
  <si>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</si>
  <si>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</si>
  <si>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</si>
  <si>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</si>
  <si>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</si>
  <si>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</si>
  <si>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</si>
  <si>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</si>
  <si>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</si>
  <si>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</si>
  <si>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</si>
  <si>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</si>
  <si>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</si>
  <si>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</si>
  <si>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</si>
  <si>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</si>
  <si>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</si>
  <si>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</si>
  <si>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</si>
  <si>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</si>
  <si>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</si>
  <si>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</si>
  <si>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</si>
  <si>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</si>
  <si>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</si>
  <si>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</si>
  <si>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</si>
  <si>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</si>
  <si>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</si>
  <si>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</si>
  <si>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</si>
  <si>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</si>
  <si>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</si>
  <si>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</si>
  <si>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</si>
  <si>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</si>
  <si>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</si>
  <si>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</si>
  <si>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</si>
  <si>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</si>
  <si>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</si>
  <si>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</si>
  <si>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</si>
  <si>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</si>
  <si>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</si>
  <si>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</si>
  <si>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</si>
  <si>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</si>
  <si>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</si>
  <si>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</si>
  <si>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</si>
  <si>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</si>
  <si>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</si>
  <si>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</si>
  <si>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</si>
  <si>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</si>
  <si>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</si>
  <si>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</si>
  <si>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</si>
  <si>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</si>
  <si>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</si>
  <si>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</si>
  <si>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</si>
  <si>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</si>
  <si>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</si>
  <si>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</si>
  <si>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</si>
  <si>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</si>
  <si>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</si>
  <si>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</si>
  <si>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</si>
  <si>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</si>
  <si>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</si>
  <si>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</si>
  <si>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</si>
  <si>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</si>
  <si>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</si>
  <si>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</si>
  <si>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</si>
  <si>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</si>
  <si>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</si>
  <si>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</si>
  <si>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</si>
  <si>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</si>
  <si>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</si>
  <si>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</si>
  <si>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</si>
  <si>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</si>
  <si>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</si>
  <si>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</si>
  <si>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</si>
  <si>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</si>
  <si>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</si>
  <si>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</si>
  <si>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</si>
  <si>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</si>
  <si>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</si>
  <si>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</si>
  <si>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</si>
  <si>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</si>
  <si>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</si>
  <si>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</si>
  <si>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</si>
  <si>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</si>
  <si>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</si>
  <si>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</si>
  <si>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</si>
  <si>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</si>
  <si>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</si>
  <si>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</si>
  <si>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</si>
  <si>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</si>
  <si>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</si>
  <si>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</si>
  <si>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</si>
  <si>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</si>
  <si>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</si>
  <si>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</si>
  <si>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</si>
  <si>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</si>
  <si>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</si>
  <si>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</si>
  <si>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</si>
  <si>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</si>
  <si>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</si>
  <si>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</si>
  <si>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</si>
  <si>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</si>
  <si>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</si>
  <si>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</si>
  <si>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</si>
  <si>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From Exhibit No. MPP-6</t>
  </si>
  <si>
    <t>Function</t>
  </si>
  <si>
    <t>Funding Project - Description</t>
  </si>
  <si>
    <t>January</t>
  </si>
  <si>
    <t>February</t>
  </si>
  <si>
    <t>March</t>
  </si>
  <si>
    <t>April</t>
  </si>
  <si>
    <t>June</t>
  </si>
  <si>
    <t>July</t>
  </si>
  <si>
    <t>August</t>
  </si>
  <si>
    <t>September</t>
  </si>
  <si>
    <t>October</t>
  </si>
  <si>
    <t>November</t>
  </si>
  <si>
    <t>December</t>
  </si>
  <si>
    <t>Estimated In-Service Date</t>
  </si>
  <si>
    <t>Account No.</t>
  </si>
  <si>
    <t>2017 Total</t>
  </si>
  <si>
    <t>WA Alloc</t>
  </si>
  <si>
    <t>Actuals thru June</t>
  </si>
  <si>
    <t>Remaining Yr Budget</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</si>
  <si>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</si>
  <si>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</si>
  <si>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</si>
  <si>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</si>
  <si>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</si>
  <si>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</si>
  <si>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</si>
  <si>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</si>
  <si>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</si>
  <si>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</si>
  <si>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</si>
  <si>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</si>
  <si>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</si>
  <si>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</si>
  <si>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</si>
  <si>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</si>
  <si>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</si>
  <si>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</si>
  <si>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</si>
  <si>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</si>
  <si>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</si>
  <si>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</si>
  <si>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</si>
  <si>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</si>
  <si>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</si>
  <si>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</si>
  <si>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</si>
  <si>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</si>
  <si>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</si>
  <si>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</si>
  <si>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</si>
  <si>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</si>
  <si>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</si>
  <si>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</si>
  <si>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</si>
  <si>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</si>
  <si>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</si>
  <si>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</si>
  <si>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</si>
  <si>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</si>
  <si>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</si>
  <si>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</si>
  <si>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</si>
  <si>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</si>
  <si>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</si>
  <si>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</si>
  <si>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</si>
  <si>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</si>
  <si>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</si>
  <si>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</si>
  <si>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</si>
  <si>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</si>
  <si>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</si>
  <si>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</si>
  <si>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</si>
  <si>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</si>
  <si>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</si>
  <si>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</si>
  <si>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</si>
  <si>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</si>
  <si>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</si>
  <si>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</si>
  <si>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</si>
  <si>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</si>
  <si>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</si>
  <si>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</si>
  <si>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</si>
  <si>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</si>
  <si>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</si>
  <si>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</si>
  <si>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</si>
  <si>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</si>
  <si>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</si>
  <si>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</si>
  <si>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</si>
  <si>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</si>
  <si>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</si>
  <si>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</si>
  <si>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</si>
  <si>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</si>
  <si>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</si>
  <si>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</si>
  <si>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</si>
  <si>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</si>
  <si>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</si>
  <si>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</si>
  <si>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</si>
  <si>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</si>
  <si>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</si>
  <si>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</si>
  <si>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</si>
  <si>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</si>
  <si>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</si>
  <si>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</si>
  <si>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</si>
  <si>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</si>
  <si>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</si>
  <si>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</si>
  <si>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</si>
  <si>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</si>
  <si>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</si>
  <si>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</si>
  <si>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</si>
  <si>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</si>
  <si>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</si>
  <si>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</si>
  <si>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</si>
  <si>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</si>
  <si>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</si>
  <si>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</si>
  <si>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</si>
  <si>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</si>
  <si>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</si>
  <si>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</si>
  <si>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</si>
  <si>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</si>
  <si>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</si>
  <si>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</si>
  <si>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</si>
  <si>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</si>
  <si>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</si>
  <si>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</si>
  <si>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</si>
  <si>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</si>
  <si>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</si>
  <si>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</si>
  <si>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</si>
  <si>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</si>
  <si>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</si>
  <si>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</si>
  <si>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</si>
  <si>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</si>
  <si>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</si>
  <si>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</si>
  <si>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</si>
  <si>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</si>
  <si>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</si>
  <si>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</si>
  <si>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</si>
  <si>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</si>
  <si>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</si>
  <si>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</si>
  <si>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</si>
  <si>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</si>
  <si>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</si>
  <si>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</si>
  <si>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</si>
  <si>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</si>
  <si>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</si>
  <si>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</si>
  <si>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</si>
  <si>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</si>
  <si>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</si>
  <si>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</si>
  <si>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</si>
  <si>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</si>
  <si>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</si>
  <si>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</si>
  <si>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</si>
  <si>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</si>
  <si>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</si>
  <si>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</si>
  <si>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</si>
  <si>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</si>
  <si>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</si>
  <si>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</si>
  <si>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</si>
  <si>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</si>
  <si>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</si>
  <si>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</si>
  <si>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</si>
  <si>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</si>
  <si>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</si>
  <si>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</si>
  <si>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</si>
  <si>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</si>
  <si>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</si>
  <si>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</si>
  <si>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</si>
  <si>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</si>
  <si>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</si>
  <si>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</si>
  <si>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</si>
  <si>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</si>
  <si>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</si>
  <si>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</si>
  <si>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</si>
  <si>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</si>
  <si>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</si>
  <si>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</si>
  <si>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</si>
  <si>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</si>
  <si>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</si>
  <si>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</si>
  <si>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</si>
  <si>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</si>
  <si>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</si>
  <si>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</si>
  <si>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</si>
  <si>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</si>
  <si>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</si>
  <si>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</si>
  <si>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</si>
  <si>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</si>
  <si>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</si>
  <si>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</si>
  <si>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</si>
  <si>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</si>
  <si>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</si>
  <si>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</si>
  <si>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</si>
  <si>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</si>
  <si>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</si>
  <si>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</si>
  <si>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</si>
  <si>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System betterment to loop the Kennewick system between the new tap on Brinkley to the existing tap on Clearwater and Kellogg</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</si>
  <si>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</si>
  <si>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</si>
  <si>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</si>
  <si>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</si>
  <si>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</si>
  <si>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</si>
  <si>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</si>
  <si>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</si>
  <si>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</si>
  <si>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</si>
  <si>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</si>
  <si>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</si>
  <si>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</si>
  <si>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</si>
  <si>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</si>
  <si>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</si>
  <si>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</si>
  <si>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</si>
  <si>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</si>
  <si>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</si>
  <si>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</si>
  <si>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</si>
  <si>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</si>
  <si>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</si>
  <si>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</si>
  <si>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District identified project to remove short pipe on bridge over canal.</t>
  </si>
  <si>
    <t>This project was completed in 2016.  Costs included in 2017 were lingering costs for an in-service project.B39</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</si>
  <si>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</si>
  <si>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This project was in service in 2016.  2017 costs were lingering costs not posted until after project went into service.</t>
  </si>
  <si>
    <t>Annual replacement of computing devices and peripherals supporting the office environment and also includes the replacement for Toughbook laptops in the field for mobile field work.</t>
  </si>
  <si>
    <t>Investment from MPP-6</t>
  </si>
  <si>
    <t xml:space="preserve">           Cascade Natural Gas</t>
  </si>
  <si>
    <t xml:space="preserve">This project replaces meters from a family that was discovered to be out of compliance of WAC 480-90-338, during meter testing in compliance with WAC 480-90-348.  The project is scheduled to be completed by the end of 2017. </t>
  </si>
  <si>
    <t>Results</t>
  </si>
  <si>
    <t>Overall Revenue Increase</t>
  </si>
  <si>
    <t xml:space="preserve">FP-313143 - V-89; Wenatchee 8" isolation valve </t>
  </si>
  <si>
    <t>FP-315655 - MN 2" PE-32SL Burlington</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</si>
  <si>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distributed across all 4 brands.</t>
  </si>
  <si>
    <t>Implement the Taleo HR onboarding module and recruiting.  This phase will eliminate the Utility Group from using the in-house developed and maintained application for recruiting and onboarding.  There is a possibility that this project will be delayed until 2018.</t>
  </si>
  <si>
    <t>Upgrade the existing PragmaCAD system for field deployment, management and scheduling to v6.5. This project is complete. Please note that this is a Utility Group wide implementation.  Costs are being distributed across all 4 brands.</t>
  </si>
  <si>
    <t>This funding project supports the continual refreshing of the Computer Server and Network hardware supporting the operations of the Data Center located at the Cascade Natural Gas General Office in Kennewick.</t>
  </si>
  <si>
    <t xml:space="preserve">Bulk Purchase of Sensit Portable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</si>
  <si>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distributed across all 4 brands.</t>
  </si>
  <si>
    <t>Replace an intermediate pressure valve due to corrosion and operational concerns.</t>
  </si>
  <si>
    <t>Replace 800' of 4" pipe for a reinforcement to provide reliable service during peak periods.</t>
  </si>
  <si>
    <t>Blanket work orders.  These projects are routine in nature and typically have offsetting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</si>
  <si>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Outside the test year.  These projects have an in-service date beyond the end of 2017 and are not included in the request.</t>
  </si>
  <si>
    <t>No Support.  These projects don't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</si>
  <si>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boundary of the city.</t>
  </si>
  <si>
    <t>These projects are to replace the protection to the pipe to stop or delay corrosion thus increasing the safety and integrity of the pipe.</t>
  </si>
  <si>
    <t>Aging regulator station needing replacement/retirement for pipeline safety/integrity reasons.  Current vault in driveway.  Estimated in service 8/25/16.</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</si>
  <si>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distributed across all 4 brands.
</t>
  </si>
  <si>
    <t>The Southridge Gate Station was installed in 2016 to provide gas to reinforce the existing distribution system.  Shortly after being constructed it was discovered that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</si>
  <si>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accommodate additional load requested by Lamb Weston.</t>
  </si>
  <si>
    <t>This project consists of installing an 8 inch valve with a high-head extension for accessibility, in-line with the already existing line.  This will allow sections 1 and 2 to be shut down independently from one another.  This allows for a controlled safe operation particularly during wildland fires that have endangered the area in recent past.</t>
  </si>
  <si>
    <t>The Hildebrand Blvd. 6” HP Main (Project) will provide additional natural gas capacity as necessary to reinforce Cascade's natural gas distribution infrastructure.  The project also provides looping capabilities thus increasing reliability to other sections of the distribution system.</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</si>
  <si>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distributed across all 4 brands.
</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</si>
  <si>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</si>
  <si>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</si>
  <si>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</si>
  <si>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</si>
  <si>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</si>
  <si>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Replace a regulator station to place above ground due to flooding of a vault and deterioration of the valve.</t>
  </si>
  <si>
    <t>Replace the existing regulator with an updated station that is above ground and in an area that has minimal to no risk.  The existing regulator station is subject to damage and is no longer supported.  The project will assure continued safe and reliable service.</t>
  </si>
  <si>
    <t>Summary of Proposed Plant Additions</t>
  </si>
  <si>
    <t>Replace two regulator stations to increase reliability during peak periods.</t>
  </si>
  <si>
    <t>UG 17_____</t>
  </si>
  <si>
    <t>Michael P. Parvinen</t>
  </si>
  <si>
    <t>MPP WP-1.1</t>
  </si>
  <si>
    <t>MPP WP-1.2</t>
  </si>
  <si>
    <t>MPP WP-1.3</t>
  </si>
  <si>
    <t>MPP WP-1.4</t>
  </si>
  <si>
    <t>MPP WP-1.5</t>
  </si>
  <si>
    <t>MPP WP-1.7</t>
  </si>
  <si>
    <t>MPP WP-1.8</t>
  </si>
  <si>
    <t>MPP WP-1.9</t>
  </si>
  <si>
    <t>MPP WP-1.10</t>
  </si>
  <si>
    <t>MPP WP-1.11</t>
  </si>
  <si>
    <t>MPP WP-1.12</t>
  </si>
  <si>
    <t>MPP WP-1.13</t>
  </si>
  <si>
    <t>MPP WP-1.14</t>
  </si>
  <si>
    <t>MPP WP-1.16</t>
  </si>
  <si>
    <t>ADJUSTMENT WORKPAPERS</t>
  </si>
  <si>
    <t>Weather Normalization</t>
  </si>
  <si>
    <t>Restate Revenues</t>
  </si>
  <si>
    <t>Pro Forma Compliance Department</t>
  </si>
  <si>
    <t>CRM Adjustment (a)</t>
  </si>
  <si>
    <t>CRM Adjustment (b)</t>
  </si>
  <si>
    <t>MPP WP-1.17</t>
  </si>
  <si>
    <t>MPP WP-1.18</t>
  </si>
  <si>
    <t>MPP WP-1.19</t>
  </si>
  <si>
    <t>Month</t>
  </si>
  <si>
    <t>Margin</t>
  </si>
  <si>
    <t>Line No:</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</si>
  <si>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</si>
  <si>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</si>
  <si>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</si>
  <si>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</si>
  <si>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</si>
  <si>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</si>
  <si>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</si>
  <si>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</si>
  <si>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</si>
  <si>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</si>
  <si>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</si>
  <si>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</si>
  <si>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</si>
  <si>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</si>
  <si>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</si>
  <si>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</si>
  <si>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</si>
  <si>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</si>
  <si>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</si>
  <si>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</si>
  <si>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</si>
  <si>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</si>
  <si>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</si>
  <si>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</si>
  <si>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</si>
  <si>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</si>
  <si>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</si>
  <si>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</si>
  <si>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</si>
  <si>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</si>
  <si>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</si>
  <si>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</si>
  <si>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</si>
  <si>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</si>
  <si>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</si>
  <si>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</si>
  <si>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</si>
  <si>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</si>
  <si>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</si>
  <si>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</si>
  <si>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</si>
  <si>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</si>
  <si>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</si>
  <si>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</si>
  <si>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</si>
  <si>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</si>
  <si>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</si>
  <si>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</si>
  <si>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</si>
  <si>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</si>
  <si>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</si>
  <si>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</si>
  <si>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</si>
  <si>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</si>
  <si>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</si>
  <si>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</si>
  <si>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</si>
  <si>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</si>
  <si>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</si>
  <si>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</si>
  <si>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</si>
  <si>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</si>
  <si>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</si>
  <si>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</si>
  <si>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</si>
  <si>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</si>
  <si>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</si>
  <si>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</si>
  <si>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</si>
  <si>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</si>
  <si>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</si>
  <si>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</si>
  <si>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</si>
  <si>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</si>
  <si>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</si>
  <si>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</si>
  <si>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</si>
  <si>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</si>
  <si>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</si>
  <si>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</si>
  <si>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</si>
  <si>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</si>
  <si>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</si>
  <si>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</si>
  <si>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</si>
  <si>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</si>
  <si>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</si>
  <si>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</si>
  <si>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</si>
  <si>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</si>
  <si>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</si>
  <si>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</si>
  <si>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</si>
  <si>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</si>
  <si>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</si>
  <si>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</si>
  <si>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</si>
  <si>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</si>
  <si>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</si>
  <si>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</si>
  <si>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</si>
  <si>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</si>
  <si>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</si>
  <si>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</si>
  <si>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</si>
  <si>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</si>
  <si>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</si>
  <si>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</si>
  <si>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</si>
  <si>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</si>
  <si>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</si>
  <si>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</si>
  <si>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</si>
  <si>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</si>
  <si>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</si>
  <si>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</si>
  <si>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</si>
  <si>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</si>
  <si>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</si>
  <si>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</si>
  <si>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</si>
  <si>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</si>
  <si>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</si>
  <si>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</si>
  <si>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</si>
  <si>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</si>
  <si>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</si>
  <si>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</si>
  <si>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</si>
  <si>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</si>
  <si>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</si>
  <si>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</si>
  <si>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</si>
  <si>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</si>
  <si>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</si>
  <si>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</si>
  <si>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</si>
  <si>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</si>
  <si>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</si>
  <si>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</si>
  <si>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</si>
  <si>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</si>
  <si>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</si>
  <si>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</si>
  <si>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</si>
  <si>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</si>
  <si>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</si>
  <si>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</si>
  <si>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</si>
  <si>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</si>
  <si>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</si>
  <si>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</si>
  <si>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</si>
  <si>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</si>
  <si>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</si>
  <si>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</si>
  <si>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</si>
  <si>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</si>
  <si>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</si>
  <si>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</si>
  <si>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</si>
  <si>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</si>
  <si>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</si>
  <si>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</si>
  <si>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</si>
  <si>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</si>
  <si>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</si>
  <si>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</si>
  <si>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</si>
  <si>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</si>
  <si>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</si>
  <si>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</si>
  <si>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</si>
  <si>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</si>
  <si>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</si>
  <si>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</si>
  <si>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</si>
  <si>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</si>
  <si>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</si>
  <si>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</si>
  <si>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</si>
  <si>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</si>
  <si>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</si>
  <si>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</si>
  <si>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</si>
  <si>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</si>
  <si>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</si>
  <si>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</si>
  <si>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</si>
  <si>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</si>
  <si>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</si>
  <si>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</si>
  <si>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</si>
  <si>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</si>
  <si>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</si>
  <si>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</si>
  <si>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</si>
  <si>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</si>
  <si>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</si>
  <si>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</si>
  <si>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</si>
  <si>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</si>
  <si>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</si>
  <si>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</si>
  <si>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</si>
  <si>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</si>
  <si>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</si>
  <si>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</si>
  <si>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</si>
  <si>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</si>
  <si>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</si>
  <si>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</si>
  <si>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</si>
  <si>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</si>
  <si>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</si>
  <si>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</si>
  <si>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</si>
  <si>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</si>
  <si>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</si>
  <si>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</si>
  <si>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</si>
  <si>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</si>
  <si>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</si>
  <si>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</si>
  <si>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</si>
  <si>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</si>
  <si>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</si>
  <si>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</si>
  <si>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</si>
  <si>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</si>
  <si>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</si>
  <si>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</si>
  <si>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</si>
  <si>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</si>
  <si>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</si>
  <si>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</si>
  <si>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</si>
  <si>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</si>
  <si>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</si>
  <si>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</si>
  <si>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</si>
  <si>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</si>
  <si>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</si>
  <si>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</si>
  <si>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</si>
  <si>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</si>
  <si>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</si>
  <si>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</si>
  <si>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</si>
  <si>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</si>
  <si>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</si>
  <si>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</si>
  <si>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</si>
  <si>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</si>
  <si>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</si>
  <si>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</si>
  <si>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</si>
  <si>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</si>
  <si>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</si>
  <si>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</si>
  <si>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</si>
  <si>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</si>
  <si>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</si>
  <si>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</si>
  <si>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</si>
  <si>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</si>
  <si>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</si>
  <si>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</si>
  <si>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</si>
  <si>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</si>
  <si>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</si>
  <si>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</si>
  <si>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</si>
  <si>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</si>
  <si>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</si>
  <si>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</si>
  <si>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</si>
  <si>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</si>
  <si>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</si>
  <si>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</si>
  <si>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</si>
  <si>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</si>
  <si>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</si>
  <si>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</si>
  <si>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</si>
  <si>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</si>
  <si>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</si>
  <si>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</si>
  <si>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</si>
  <si>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</si>
  <si>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</si>
  <si>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</si>
  <si>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</si>
  <si>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</si>
  <si>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</si>
  <si>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</si>
  <si>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</si>
  <si>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</si>
  <si>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</si>
  <si>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</si>
  <si>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</si>
  <si>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</si>
  <si>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</si>
  <si>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</si>
  <si>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</si>
  <si>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</si>
  <si>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</si>
  <si>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</si>
  <si>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</si>
  <si>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</si>
  <si>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</si>
  <si>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</si>
  <si>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</si>
  <si>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MPP WP-1.20</t>
  </si>
  <si>
    <t>MPP WP-1.21</t>
  </si>
  <si>
    <t>AF</t>
  </si>
  <si>
    <t>AG</t>
  </si>
  <si>
    <t>AH</t>
  </si>
  <si>
    <t>AI</t>
  </si>
  <si>
    <t>AJ</t>
  </si>
  <si>
    <t>AK</t>
  </si>
  <si>
    <t>AL</t>
  </si>
  <si>
    <t>AM</t>
  </si>
  <si>
    <t>AN</t>
  </si>
  <si>
    <t>AO</t>
  </si>
  <si>
    <t>AP</t>
  </si>
  <si>
    <t>AQ</t>
  </si>
  <si>
    <t>AR</t>
  </si>
  <si>
    <t>AT</t>
  </si>
  <si>
    <t>AU</t>
  </si>
  <si>
    <t>AV</t>
  </si>
  <si>
    <t>AW</t>
  </si>
  <si>
    <t>Advance for Construction &amp; Deferred Taxes</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</si>
  <si>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</si>
  <si>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</si>
  <si>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</si>
  <si>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</si>
  <si>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</si>
  <si>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</si>
  <si>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</si>
  <si>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</si>
  <si>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</si>
  <si>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</si>
  <si>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</si>
  <si>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</si>
  <si>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</si>
  <si>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</si>
  <si>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</si>
  <si>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</si>
  <si>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</si>
  <si>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</si>
  <si>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</si>
  <si>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</si>
  <si>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</si>
  <si>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</si>
  <si>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</si>
  <si>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</si>
  <si>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</si>
  <si>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</si>
  <si>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</si>
  <si>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</si>
  <si>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</si>
  <si>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</si>
  <si>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</si>
  <si>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</si>
  <si>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</si>
  <si>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</si>
  <si>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</si>
  <si>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</si>
  <si>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</si>
  <si>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</si>
  <si>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</si>
  <si>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</si>
  <si>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</si>
  <si>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</si>
  <si>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</si>
  <si>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</si>
  <si>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</si>
  <si>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</si>
  <si>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</si>
  <si>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</si>
  <si>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</si>
  <si>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</si>
  <si>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</si>
  <si>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</si>
  <si>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</si>
  <si>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</si>
  <si>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</si>
  <si>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</si>
  <si>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</si>
  <si>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</si>
  <si>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</si>
  <si>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</si>
  <si>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</si>
  <si>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</si>
  <si>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</si>
  <si>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</si>
  <si>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</si>
  <si>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</si>
  <si>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</si>
  <si>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</si>
  <si>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</si>
  <si>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</si>
  <si>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</si>
  <si>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</si>
  <si>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</si>
  <si>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</si>
  <si>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</si>
  <si>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</si>
  <si>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</si>
  <si>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</si>
  <si>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</si>
  <si>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</si>
  <si>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</si>
  <si>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</si>
  <si>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</si>
  <si>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</si>
  <si>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</si>
  <si>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</si>
  <si>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</si>
  <si>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</si>
  <si>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</si>
  <si>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</si>
  <si>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</si>
  <si>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</si>
  <si>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State Allocation Formula</t>
  </si>
  <si>
    <t>MPP WP-1.22</t>
  </si>
  <si>
    <t>TCJA-1</t>
  </si>
  <si>
    <t>Tax</t>
  </si>
  <si>
    <t>Gas Revenue Requirement Summary ($000)</t>
  </si>
  <si>
    <t>NWIGU Proposed</t>
  </si>
  <si>
    <t>Impact of NWIGU Adjustments</t>
  </si>
  <si>
    <t>Rev. Req. Parameters</t>
  </si>
  <si>
    <t xml:space="preserve">Rev. Req. </t>
  </si>
  <si>
    <t>Pre-Tax</t>
  </si>
  <si>
    <t xml:space="preserve">Adj. </t>
  </si>
  <si>
    <t xml:space="preserve">Net Oper. </t>
  </si>
  <si>
    <t xml:space="preserve">Def. / </t>
  </si>
  <si>
    <t>Revenue Conversion</t>
  </si>
  <si>
    <t xml:space="preserve">No. </t>
  </si>
  <si>
    <t>Income</t>
  </si>
  <si>
    <t>(Suf.)</t>
  </si>
  <si>
    <t>NWIGU Position</t>
  </si>
  <si>
    <t>Tax Rate</t>
  </si>
  <si>
    <t>Per Book Results (Y/E Dec. 2016)</t>
  </si>
  <si>
    <t>Cost of Capital</t>
  </si>
  <si>
    <t>Weighted</t>
  </si>
  <si>
    <t>Restating Adjustments:</t>
  </si>
  <si>
    <t>Component</t>
  </si>
  <si>
    <t>Structure</t>
  </si>
  <si>
    <t>Cost</t>
  </si>
  <si>
    <t>Total Debt</t>
  </si>
  <si>
    <t>Common</t>
  </si>
  <si>
    <t xml:space="preserve">Filed Return </t>
  </si>
  <si>
    <t>Filed Rate Base</t>
  </si>
  <si>
    <t>Cost of Capital Impact</t>
  </si>
  <si>
    <t>Restated Results</t>
  </si>
  <si>
    <t>Pro Forma Adjustments</t>
  </si>
  <si>
    <t>Filed Deficiency:</t>
  </si>
  <si>
    <t>Calculated:</t>
  </si>
  <si>
    <t>Check</t>
  </si>
  <si>
    <t>Old</t>
  </si>
  <si>
    <t>TCJA Adjustments</t>
  </si>
  <si>
    <t>Pro Forma Results</t>
  </si>
  <si>
    <t>Total Pro Forma Results (with TCJA)</t>
  </si>
  <si>
    <t>TCJA-2</t>
  </si>
  <si>
    <t>TCJA-3</t>
  </si>
  <si>
    <t>TCJA-4</t>
  </si>
  <si>
    <t xml:space="preserve">Excess </t>
  </si>
  <si>
    <t>Deferred</t>
  </si>
  <si>
    <t>Taxes</t>
  </si>
  <si>
    <t>TCJA</t>
  </si>
  <si>
    <t>Conversion</t>
  </si>
  <si>
    <t>Factor</t>
  </si>
  <si>
    <t>NWIGU</t>
  </si>
  <si>
    <t xml:space="preserve">  EDFIT</t>
  </si>
  <si>
    <t>EDFIT Amort</t>
  </si>
  <si>
    <t>New</t>
  </si>
  <si>
    <t>Federal Income Tax @ 35%, 21%</t>
  </si>
  <si>
    <t>ROE Impact:</t>
  </si>
  <si>
    <t>Check:</t>
  </si>
  <si>
    <t>Ending Balance</t>
  </si>
  <si>
    <t>Interest</t>
  </si>
  <si>
    <t>Beginning Balance</t>
  </si>
  <si>
    <t>Balance</t>
  </si>
  <si>
    <t>Carrying Charge (Per Mo. at Pre-tax ROR)</t>
  </si>
  <si>
    <t xml:space="preserve">Total Deferred Amounts </t>
  </si>
  <si>
    <t>Monthly EDFIT Amortization (Pretax)</t>
  </si>
  <si>
    <t>Monthly EDFIT Amortization</t>
  </si>
  <si>
    <t>Monthly Return Diff. at Restated 21 % Tax Rate</t>
  </si>
  <si>
    <t>Monthly Deferral Calculation</t>
  </si>
  <si>
    <t>Annual Equity Return Differential (35% to 21% Rate)</t>
  </si>
  <si>
    <t>Pretax Equity Return (21% Rate)</t>
  </si>
  <si>
    <t>Pretax Return on Equity (21% Rate)</t>
  </si>
  <si>
    <t>Pretax Equity Returns Required (35% Rate)</t>
  </si>
  <si>
    <t>Pretax Return On Equity (35% Rate)</t>
  </si>
  <si>
    <t>Return On Equity</t>
  </si>
  <si>
    <t>Equity Portion of Rate Base</t>
  </si>
  <si>
    <t>Equity %</t>
  </si>
  <si>
    <t>Restating Adjustment Calculation Using Gross-up Method:</t>
  </si>
  <si>
    <t>&lt;-Goal Seek to Zero</t>
  </si>
  <si>
    <t xml:space="preserve">Ending </t>
  </si>
  <si>
    <t>Beg</t>
  </si>
  <si>
    <t>Annual Amortization (Pre-tax):</t>
  </si>
  <si>
    <t>Exclude all but this line item</t>
  </si>
  <si>
    <t>Rev. Req. Def</t>
  </si>
  <si>
    <t>Contested</t>
  </si>
  <si>
    <t>EDFIT Amortization</t>
  </si>
  <si>
    <t>01/18 - 7/18</t>
  </si>
  <si>
    <t>Total Adjustments</t>
  </si>
  <si>
    <t>Incentive</t>
  </si>
  <si>
    <t>Pay</t>
  </si>
  <si>
    <t>Employee</t>
  </si>
  <si>
    <t>Arbitration</t>
  </si>
  <si>
    <t>Proposed</t>
  </si>
  <si>
    <t>SERP</t>
  </si>
  <si>
    <t>No Position</t>
  </si>
  <si>
    <t>Cascade Initial Filing</t>
  </si>
  <si>
    <t>Recommended Adjustments</t>
  </si>
  <si>
    <t>Apply 9.4% ROE</t>
  </si>
  <si>
    <t>Supplemental Executive Retirement Plan</t>
  </si>
  <si>
    <t>Restate Tax Expense</t>
  </si>
  <si>
    <t>Tax Deferral 1/1/18 - 7/31/18</t>
  </si>
  <si>
    <t>Update Conversion Factor</t>
  </si>
  <si>
    <t>PF-3</t>
  </si>
  <si>
    <t xml:space="preserve">Ln </t>
  </si>
  <si>
    <t>Adj. No.</t>
  </si>
  <si>
    <t>n/a</t>
  </si>
  <si>
    <t>----- $000 -----</t>
  </si>
  <si>
    <t>Updated</t>
  </si>
  <si>
    <t>EDFIT Balance</t>
  </si>
  <si>
    <t>ADIT at 35% Tax Rate</t>
  </si>
  <si>
    <t>Plant In Service</t>
  </si>
  <si>
    <t>Debt Refinancing</t>
  </si>
  <si>
    <t>P-8:  CRM Adjustment</t>
  </si>
  <si>
    <t>P-3:  Pro Forma Capital</t>
  </si>
  <si>
    <t>Revalue ADIT at 21% Tax Rate</t>
  </si>
  <si>
    <t>Book Tax Difference</t>
  </si>
  <si>
    <t>Amort.  Rate</t>
  </si>
  <si>
    <t>Total Per Results</t>
  </si>
  <si>
    <t>Total Pro-Forma</t>
  </si>
  <si>
    <t>Composite Rate</t>
  </si>
  <si>
    <t>Cum. Book Tax Difference</t>
  </si>
  <si>
    <t>(b) = (a) / 35%</t>
  </si>
  <si>
    <t>(c) = (b) * 21%</t>
  </si>
  <si>
    <t>(d) = (a) - (c)</t>
  </si>
  <si>
    <t>(f) = (d) * (e)</t>
  </si>
  <si>
    <t xml:space="preserve">(e)  </t>
  </si>
  <si>
    <t>(,z)</t>
  </si>
  <si>
    <t>(,y)</t>
  </si>
  <si>
    <t>(z')  Calculated as follows</t>
  </si>
  <si>
    <t xml:space="preserve">(y') Timing of reversal unknown.  Assumed 10% corresponding to a 10 year bond life. Impact is immaterial. </t>
  </si>
  <si>
    <t>Current Tax Expense</t>
  </si>
  <si>
    <t>Deferred Tax Expense</t>
  </si>
  <si>
    <t>Total Tax Expense</t>
  </si>
  <si>
    <t>Per Books</t>
  </si>
  <si>
    <t xml:space="preserve">Current Taxable Income </t>
  </si>
  <si>
    <t>Total Taxable Income</t>
  </si>
  <si>
    <t>Taxable Income</t>
  </si>
  <si>
    <r>
      <t xml:space="preserve">Total Tax Expense </t>
    </r>
    <r>
      <rPr>
        <sz val="9"/>
        <color theme="1"/>
        <rFont val="Times New Roman"/>
        <family val="1"/>
      </rPr>
      <t>(,z)</t>
    </r>
  </si>
  <si>
    <t>(z')  Excluding ITC Amortization</t>
  </si>
  <si>
    <t>Total Pro Forma</t>
  </si>
  <si>
    <t>Book Tax Difference Amount</t>
  </si>
  <si>
    <t>(c)</t>
  </si>
  <si>
    <t>(d) = (a)/35%</t>
  </si>
  <si>
    <t>(e)=(b)/35%</t>
  </si>
  <si>
    <t>(f)=(c)/35%</t>
  </si>
  <si>
    <t>(g)=(d)*21%</t>
  </si>
  <si>
    <t>(h)=(e)*21%</t>
  </si>
  <si>
    <t>(i)=(f)*21%</t>
  </si>
  <si>
    <t>(j) = (c) - (i)</t>
  </si>
  <si>
    <t>TCJA-1 Restating Adjustment</t>
  </si>
  <si>
    <t>Restated Tax Exp. at 21% Rate</t>
  </si>
  <si>
    <t xml:space="preserve"> Tax Expense at 35% Rate</t>
  </si>
  <si>
    <t>Adj. No</t>
  </si>
  <si>
    <t>12/31/2016 Per Books</t>
  </si>
  <si>
    <t>Cascade</t>
  </si>
  <si>
    <t>Plant in Service</t>
  </si>
  <si>
    <t>Property Tax Rate</t>
  </si>
  <si>
    <t>Depreciation Rate</t>
  </si>
  <si>
    <t>Property Tax Expense</t>
  </si>
  <si>
    <t>Accumulated Tax Depreciation</t>
  </si>
  <si>
    <t>Tax Depreciation Rate</t>
  </si>
  <si>
    <t>Tax Depreciation Expense</t>
  </si>
  <si>
    <t>Book-Tax Difference</t>
  </si>
  <si>
    <t>Impact of</t>
  </si>
  <si>
    <t>(z')  Per Parvinen, Exh. MPP-6</t>
  </si>
  <si>
    <t>Pre-Tax NOI</t>
  </si>
  <si>
    <t>Interest Coordination</t>
  </si>
  <si>
    <t>Cascade Filing (Rev. Req. at NWIGU ROR)</t>
  </si>
  <si>
    <t xml:space="preserve">Increase / </t>
  </si>
  <si>
    <t>(Decrease)</t>
  </si>
  <si>
    <t>After Revenue</t>
  </si>
  <si>
    <t>Books</t>
  </si>
  <si>
    <t>Whole Dollars</t>
  </si>
  <si>
    <t>Results of Operations Summary</t>
  </si>
  <si>
    <t>In Thousands</t>
  </si>
  <si>
    <t>Conversion Factor Calculation</t>
  </si>
  <si>
    <t>Filed</t>
  </si>
  <si>
    <t>Per TCJA</t>
  </si>
  <si>
    <t xml:space="preserve">  Revenue Requirement Impact</t>
  </si>
  <si>
    <t>Total Rate Base</t>
  </si>
  <si>
    <t>Total Gross Revenues</t>
  </si>
  <si>
    <t>Revenue Requirement Adjustment Detail</t>
  </si>
  <si>
    <t>(y')  Actual Plant in Service for the Richland Project per Response to Public Counsel Data Request 45</t>
  </si>
  <si>
    <t>ADIT</t>
  </si>
  <si>
    <t>P-3:  Post-Test Period, Pro Forma Capital Additions</t>
  </si>
  <si>
    <t>P-4:  Rate Case Costs Pro Forma Adjustment</t>
  </si>
  <si>
    <t>TCJA-1:  Tax Expense Restated at 21% Rate</t>
  </si>
  <si>
    <t xml:space="preserve">TCJA-2:  Excess Deferred Federal Income Taxes </t>
  </si>
  <si>
    <t>Cost of Capital Calculation</t>
  </si>
  <si>
    <t>Cascade, As Filed</t>
  </si>
  <si>
    <t>Vendor</t>
  </si>
  <si>
    <t>TCJA-3: Calculation of the Deferral Related to Excess Taxes Collected in Rates Over the Period January 1, 2018 through July 31, 2018</t>
  </si>
  <si>
    <t>TCJA-3: Deferral Amortization for Excess Taxes Collected in Rates Over the Period January 1, 2018 through July 31, 2018</t>
  </si>
  <si>
    <t>Employee Arbitration Contingency</t>
  </si>
  <si>
    <t>Affiliate Bonus Payments</t>
  </si>
  <si>
    <t>ACRS/MACRS Depreciation</t>
  </si>
  <si>
    <t>WN adjustment for gas cost</t>
  </si>
  <si>
    <t>gas revenue Cascade actually incurred</t>
  </si>
  <si>
    <t>booked gas cost</t>
  </si>
  <si>
    <t>gas cost Cascade should have incurred</t>
  </si>
  <si>
    <t>unbilled and deferral adjustment</t>
  </si>
  <si>
    <t>booked gas cost revenue</t>
  </si>
  <si>
    <t>gas revenue Cascade received</t>
  </si>
  <si>
    <t>gas revenue Cascade should have received</t>
  </si>
  <si>
    <t>conversion factor</t>
  </si>
  <si>
    <t>Adopt Staff</t>
  </si>
  <si>
    <t xml:space="preserve">Restate </t>
  </si>
  <si>
    <t>UTC-2</t>
  </si>
  <si>
    <t>UTC-6</t>
  </si>
  <si>
    <t>UTC-1</t>
  </si>
  <si>
    <t>UTC-5</t>
  </si>
  <si>
    <t>P2, UTC-6</t>
  </si>
  <si>
    <t xml:space="preserve">MAOP Deferral </t>
  </si>
  <si>
    <t>R1, R3, P9</t>
  </si>
  <si>
    <t>P6</t>
  </si>
  <si>
    <t>Working Capital - Other</t>
  </si>
  <si>
    <t>(,x)</t>
  </si>
  <si>
    <t>(x') Original Balance Included in Results Calculated as follows</t>
  </si>
  <si>
    <t xml:space="preserve">Non-Plant ADIT from Working Capital WP </t>
  </si>
  <si>
    <t>Total Book Investments</t>
  </si>
  <si>
    <t>Rate Base Investments</t>
  </si>
  <si>
    <t>Ratio</t>
  </si>
  <si>
    <t>Non-Plant ADIT Included in Results</t>
  </si>
  <si>
    <t>Proposing a 10-year amortization for these unprotected EDFIT Balances included in working capital</t>
  </si>
  <si>
    <t>Tab 11</t>
  </si>
  <si>
    <t>Wage Escalation</t>
  </si>
  <si>
    <t>Recommendation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</si>
</sst>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_(* #,##0_);_(* \(#,##0\);_(* &quot;-&quot;??_);_(@_)"/>
    <numFmt numFmtId="166" formatCode="0.000%"/>
    <numFmt numFmtId="167" formatCode="0.0000%"/>
    <numFmt numFmtId="168" formatCode="_-* #,##0\ &quot;F&quot;_-;\-* #,##0\ &quot;F&quot;_-;_-* &quot;-&quot;\ &quot;F&quot;_-;_-@_-"/>
    <numFmt numFmtId="169" formatCode="&quot;$&quot;###0;[Red]\(&quot;$&quot;###0\)"/>
    <numFmt numFmtId="170" formatCode="&quot;$&quot;#,##0\ ;\(&quot;$&quot;#,##0\)"/>
    <numFmt numFmtId="171" formatCode="########\-###\-###"/>
    <numFmt numFmtId="172" formatCode="0.0"/>
    <numFmt numFmtId="173" formatCode="#,##0.000;[Red]\-#,##0.000"/>
    <numFmt numFmtId="174" formatCode="#,##0.0_);\(#,##0.0\);\-\ ;"/>
    <numFmt numFmtId="175" formatCode="#,##0.0000"/>
    <numFmt numFmtId="176" formatCode="mmm\ dd\,\ yyyy"/>
    <numFmt numFmtId="177" formatCode="General_)"/>
    <numFmt numFmtId="178" formatCode="mmmm\ d\,\ yyyy"/>
    <numFmt numFmtId="179" formatCode="_-* #,##0.000000_-;\-* #,##0.000000_-;_-* &quot;-&quot;??????_-;_-@_-"/>
    <numFmt numFmtId="180" formatCode="#,##0.0_);\(#,##0.0\)"/>
    <numFmt numFmtId="181" formatCode="&quot;$&quot;#,##0.0000_);\(&quot;$&quot;#,##0.0000\)"/>
    <numFmt numFmtId="182" formatCode="&quot;$&quot;#,##0.000_);\(&quot;$&quot;#,##0.000\)"/>
    <numFmt numFmtId="183" formatCode="&quot;$&quot;#,##0.00000000_);\(&quot;$&quot;#,##0.00000000\)"/>
    <numFmt numFmtId="184" formatCode="0.00000"/>
    <numFmt numFmtId="185" formatCode="_(&quot;$&quot;* #,##0_);_(&quot;$&quot;* \(#,##0\);_(&quot;$&quot;* &quot;-&quot;??_);_(@_)"/>
    <numFmt numFmtId="186" formatCode="0.0000000%"/>
    <numFmt numFmtId="187" formatCode="_(* #,##0.0000_);_(* \(#,##0.0000\);_(* &quot;-&quot;??_);_(@_)"/>
    <numFmt numFmtId="188" formatCode="#,##0.00000_);\(#,##0.00000\)"/>
    <numFmt numFmtId="189" formatCode="&quot;$&quot;#,##0"/>
    <numFmt numFmtId="190" formatCode="dd\-mmm\-yy_)"/>
    <numFmt numFmtId="191" formatCode="_(&quot;$&quot;* #,##0.00000_);_(&quot;$&quot;* \(#,##0.00000\);_(&quot;$&quot;* &quot;-&quot;??_);_(@_)"/>
    <numFmt numFmtId="192" formatCode="&quot;$&quot;#,##0.00"/>
    <numFmt numFmtId="193" formatCode="#,##0.000000000_);\(#,##0.000000000\)"/>
    <numFmt numFmtId="194" formatCode="#,##0.0000000000_);[Red]\(#,##0.0000000000\)"/>
    <numFmt numFmtId="195" formatCode="0.00000%"/>
    <numFmt numFmtId="196" formatCode="&quot;$&quot;#,##0.00000_);[Red]\(&quot;$&quot;#,##0.00000\)"/>
    <numFmt numFmtId="197" formatCode="#,##0.0000_);\(#,##0.0000\)"/>
    <numFmt numFmtId="198" formatCode="mmm\-yy_)"/>
    <numFmt numFmtId="199" formatCode="0_)"/>
    <numFmt numFmtId="200" formatCode="#,##0.000000_);\(#,##0.000000\)"/>
    <numFmt numFmtId="201" formatCode="#,##0.0000000"/>
    <numFmt numFmtId="202" formatCode="0.000"/>
    <numFmt numFmtId="203" formatCode="_(* #,##0.00_);_(* \(#,##0.00\);_(* &quot;-&quot;_);_(@_)"/>
    <numFmt numFmtId="204" formatCode="0.0%"/>
    <numFmt numFmtId="205" formatCode="_(* #,##0.00000_);_(* \(#,##0.00000\);_(* &quot;-&quot;_);_(@_)"/>
    <numFmt numFmtId="206" formatCode="_(* #,##0.000_);_(* \(#,##0.000\);_(* &quot;-&quot;_);_(@_)"/>
    <numFmt numFmtId="207" formatCode="#,##0.0000000_);\(#,##0.0000000\)"/>
  </numFmts>
  <fonts count="17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
      <b/>
      <sz val="10"/>
      <name val="Times New Roman"/>
      <family val="1"/>
    </font>
    <font>
      <i/>
      <sz val="10"/>
      <name val="Times New Roman"/>
      <family val="1"/>
    </font>
    <font>
      <i/>
      <u/>
      <sz val="10"/>
      <name val="Times New Roman"/>
      <family val="1"/>
    </font>
    <font>
      <b/>
      <u/>
      <sz val="10"/>
      <name val="Times New Roman"/>
      <family val="1"/>
    </font>
    <font>
      <u/>
      <sz val="10"/>
      <name val="Times New Roman"/>
      <family val="1"/>
    </font>
    <font>
      <i/>
      <sz val="10"/>
      <color theme="0" tint="-0.499984740745262"/>
      <name val="Times New Roman"/>
      <family val="1"/>
    </font>
    <font>
      <i/>
      <sz val="10"/>
      <name val="Arial"/>
      <family val="2"/>
    </font>
    <font>
      <sz val="11"/>
      <color theme="1"/>
      <name val="Times New Roman"/>
      <family val="1"/>
    </font>
    <font>
      <b/>
      <sz val="11"/>
      <color theme="1"/>
      <name val="Times New Roman"/>
      <family val="1"/>
    </font>
    <font>
      <sz val="9"/>
      <color theme="1"/>
      <name val="Times New Roman"/>
      <family val="1"/>
    </font>
    <font>
      <sz val="9"/>
      <name val="Times New Roman"/>
      <family val="1"/>
    </font>
    <font>
      <sz val="10"/>
      <color theme="1"/>
      <name val="Times New Roman"/>
      <family val="1"/>
    </font>
    <font>
      <i/>
      <sz val="9"/>
      <color theme="1"/>
      <name val="Times New Roman"/>
      <family val="1"/>
    </font>
    <font>
      <sz val="8"/>
      <color theme="1"/>
      <name val="Times New Roman"/>
      <family val="1"/>
    </font>
    <font>
      <b/>
      <sz val="11"/>
      <name val="Times New Roman"/>
      <family val="1"/>
    </font>
    <font>
      <i/>
      <sz val="11"/>
      <name val="Times New Roman"/>
      <family val="1"/>
    </font>
    <font>
      <u/>
      <sz val="11"/>
      <color theme="1"/>
      <name val="Times New Roman"/>
      <family val="1"/>
    </font>
    <font>
      <i/>
      <sz val="11"/>
      <color theme="1"/>
      <name val="Times New Roman"/>
      <family val="1"/>
    </font>
    <font>
      <u/>
      <sz val="10"/>
      <color theme="1"/>
      <name val="Times New Roman"/>
      <family val="1"/>
    </font>
    <font>
      <b/>
      <sz val="10"/>
      <color theme="1"/>
      <name val="Times New Roman"/>
      <family val="1"/>
    </font>
    <font>
      <u/>
      <sz val="12"/>
      <color rgb="FF00B050"/>
      <name val="Times New Roman"/>
      <family val="1"/>
    </font>
    <font>
      <sz val="10"/>
      <color rgb="FFFF0000"/>
      <name val="Times New Roman"/>
      <family val="1"/>
    </font>
    <font>
      <i/>
      <sz val="9"/>
      <color rgb="FF3C4870"/>
      <name val="Times New Roman"/>
      <family val="1"/>
    </font>
    <font>
      <i/>
      <sz val="11"/>
      <color rgb="FF3C4870"/>
      <name val="Times New Roman"/>
      <family val="1"/>
    </font>
  </fonts>
  <fills count="10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FFCFAB"/>
        <bgColor indexed="64"/>
      </patternFill>
    </fill>
    <fill>
      <patternFill patternType="solid">
        <fgColor rgb="FF00B050"/>
        <bgColor indexed="64"/>
      </patternFill>
    </fill>
    <fill>
      <patternFill patternType="solid">
        <fgColor theme="6" tint="0.59999389629810485"/>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bottom/>
      <diagonal/>
    </border>
    <border>
      <left/>
      <right style="thick">
        <color indexed="64"/>
      </right>
      <top/>
      <bottom/>
      <diagonal/>
    </border>
    <border>
      <left style="thick">
        <color auto="1"/>
      </left>
      <right style="thick">
        <color auto="1"/>
      </right>
      <top/>
      <bottom/>
      <diagonal/>
    </border>
    <border>
      <left style="thick">
        <color auto="1"/>
      </left>
      <right/>
      <top style="thin">
        <color indexed="64"/>
      </top>
      <bottom/>
      <diagonal/>
    </border>
    <border>
      <left/>
      <right style="thick">
        <color indexed="64"/>
      </right>
      <top style="thin">
        <color indexed="64"/>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s>
  <cellStyleXfs count="25802">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69" fontId="36" fillId="0" borderId="0" applyFont="0" applyFill="0" applyBorder="0" applyProtection="0">
      <alignment horizontal="right"/>
    </xf>
    <xf numFmtId="5" fontId="35" fillId="0" borderId="0"/>
    <xf numFmtId="170"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0" applyNumberFormat="0" applyAlignment="0" applyProtection="0">
      <alignment horizontal="left" vertical="center"/>
    </xf>
    <xf numFmtId="0" fontId="26" fillId="0" borderId="19">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3" applyNumberFormat="0" applyBorder="0" applyAlignment="0" applyProtection="0"/>
    <xf numFmtId="0" fontId="41" fillId="0" borderId="0" applyNumberFormat="0" applyFill="0" applyBorder="0" applyAlignment="0">
      <protection locked="0"/>
    </xf>
    <xf numFmtId="171" fontId="19" fillId="0" borderId="0"/>
    <xf numFmtId="172" fontId="24" fillId="0" borderId="0" applyNumberFormat="0" applyFill="0" applyBorder="0" applyAlignment="0" applyProtection="0"/>
    <xf numFmtId="165" fontId="42" fillId="0" borderId="0" applyFont="0" applyAlignment="0" applyProtection="0"/>
    <xf numFmtId="0" fontId="21" fillId="0" borderId="21" applyNumberFormat="0" applyBorder="0" applyAlignment="0"/>
    <xf numFmtId="173"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4" fontId="32" fillId="0" borderId="0" applyFont="0" applyFill="0" applyBorder="0" applyProtection="0"/>
    <xf numFmtId="12" fontId="26" fillId="36" borderId="18">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2" applyNumberFormat="0" applyProtection="0">
      <alignment vertical="center"/>
    </xf>
    <xf numFmtId="4" fontId="46" fillId="38" borderId="22" applyNumberFormat="0" applyProtection="0">
      <alignment vertical="center"/>
    </xf>
    <xf numFmtId="4" fontId="27" fillId="38" borderId="22" applyNumberFormat="0" applyProtection="0">
      <alignment horizontal="left" vertical="center" indent="1"/>
    </xf>
    <xf numFmtId="4" fontId="27" fillId="38" borderId="22" applyNumberFormat="0" applyProtection="0">
      <alignment horizontal="left" vertical="center" indent="1"/>
    </xf>
    <xf numFmtId="0" fontId="27" fillId="38" borderId="22" applyNumberFormat="0" applyProtection="0">
      <alignment horizontal="left" vertical="top" indent="1"/>
    </xf>
    <xf numFmtId="4" fontId="27" fillId="34" borderId="22" applyNumberFormat="0" applyProtection="0"/>
    <xf numFmtId="4" fontId="27" fillId="34" borderId="0" applyNumberFormat="0" applyProtection="0">
      <alignment horizontal="left" vertical="center" indent="1"/>
    </xf>
    <xf numFmtId="4" fontId="47" fillId="39" borderId="22" applyNumberFormat="0" applyProtection="0">
      <alignment horizontal="right" vertical="center"/>
    </xf>
    <xf numFmtId="4" fontId="47" fillId="40" borderId="22" applyNumberFormat="0" applyProtection="0">
      <alignment horizontal="right" vertical="center"/>
    </xf>
    <xf numFmtId="4" fontId="47" fillId="41" borderId="22" applyNumberFormat="0" applyProtection="0">
      <alignment horizontal="right" vertical="center"/>
    </xf>
    <xf numFmtId="4" fontId="47" fillId="42" borderId="22" applyNumberFormat="0" applyProtection="0">
      <alignment horizontal="right" vertical="center"/>
    </xf>
    <xf numFmtId="4" fontId="47" fillId="43" borderId="22" applyNumberFormat="0" applyProtection="0">
      <alignment horizontal="right" vertical="center"/>
    </xf>
    <xf numFmtId="4" fontId="47" fillId="44" borderId="22" applyNumberFormat="0" applyProtection="0">
      <alignment horizontal="right" vertical="center"/>
    </xf>
    <xf numFmtId="4" fontId="47" fillId="45" borderId="22" applyNumberFormat="0" applyProtection="0">
      <alignment horizontal="right" vertical="center"/>
    </xf>
    <xf numFmtId="4" fontId="47" fillId="46" borderId="22" applyNumberFormat="0" applyProtection="0">
      <alignment horizontal="right" vertical="center"/>
    </xf>
    <xf numFmtId="4" fontId="47" fillId="47" borderId="22" applyNumberFormat="0" applyProtection="0">
      <alignment horizontal="right" vertical="center"/>
    </xf>
    <xf numFmtId="4" fontId="27" fillId="48" borderId="23"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2"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2" applyNumberFormat="0" applyProtection="0">
      <alignment horizontal="left" vertical="center" indent="1"/>
    </xf>
    <xf numFmtId="0" fontId="19" fillId="50" borderId="22" applyNumberFormat="0" applyProtection="0">
      <alignment horizontal="left" vertical="center" indent="1"/>
    </xf>
    <xf numFmtId="0" fontId="19" fillId="50" borderId="22" applyNumberFormat="0" applyProtection="0">
      <alignment horizontal="left" vertical="center" indent="1"/>
    </xf>
    <xf numFmtId="0" fontId="19" fillId="50" borderId="22" applyNumberFormat="0" applyProtection="0">
      <alignment horizontal="left" vertical="center" indent="1"/>
    </xf>
    <xf numFmtId="0" fontId="19" fillId="50" borderId="22" applyNumberFormat="0" applyProtection="0">
      <alignment horizontal="left" vertical="top" indent="1"/>
    </xf>
    <xf numFmtId="0" fontId="19" fillId="50" borderId="22" applyNumberFormat="0" applyProtection="0">
      <alignment horizontal="left" vertical="top" indent="1"/>
    </xf>
    <xf numFmtId="0" fontId="19" fillId="50" borderId="22" applyNumberFormat="0" applyProtection="0">
      <alignment horizontal="left" vertical="top" indent="1"/>
    </xf>
    <xf numFmtId="0" fontId="19" fillId="50" borderId="22" applyNumberFormat="0" applyProtection="0">
      <alignment horizontal="left" vertical="top" indent="1"/>
    </xf>
    <xf numFmtId="0" fontId="19" fillId="34" borderId="22" applyNumberFormat="0" applyProtection="0">
      <alignment horizontal="left" vertical="center" indent="1"/>
    </xf>
    <xf numFmtId="0" fontId="19" fillId="34" borderId="22" applyNumberFormat="0" applyProtection="0">
      <alignment horizontal="left" vertical="center" indent="1"/>
    </xf>
    <xf numFmtId="0" fontId="19" fillId="34" borderId="22" applyNumberFormat="0" applyProtection="0">
      <alignment horizontal="left" vertical="center" indent="1"/>
    </xf>
    <xf numFmtId="0" fontId="19" fillId="34" borderId="22" applyNumberFormat="0" applyProtection="0">
      <alignment horizontal="left" vertical="center" indent="1"/>
    </xf>
    <xf numFmtId="0" fontId="19" fillId="34" borderId="22" applyNumberFormat="0" applyProtection="0">
      <alignment horizontal="left" vertical="top" indent="1"/>
    </xf>
    <xf numFmtId="0" fontId="19" fillId="34" borderId="22" applyNumberFormat="0" applyProtection="0">
      <alignment horizontal="left" vertical="top" indent="1"/>
    </xf>
    <xf numFmtId="0" fontId="19" fillId="34" borderId="22" applyNumberFormat="0" applyProtection="0">
      <alignment horizontal="left" vertical="top" indent="1"/>
    </xf>
    <xf numFmtId="0" fontId="19" fillId="34" borderId="22" applyNumberFormat="0" applyProtection="0">
      <alignment horizontal="left" vertical="top" indent="1"/>
    </xf>
    <xf numFmtId="0" fontId="19" fillId="54" borderId="22" applyNumberFormat="0" applyProtection="0">
      <alignment horizontal="left" vertical="center" indent="1"/>
    </xf>
    <xf numFmtId="0" fontId="19" fillId="54" borderId="22" applyNumberFormat="0" applyProtection="0">
      <alignment horizontal="left" vertical="center" indent="1"/>
    </xf>
    <xf numFmtId="0" fontId="19" fillId="54" borderId="22" applyNumberFormat="0" applyProtection="0">
      <alignment horizontal="left" vertical="center" indent="1"/>
    </xf>
    <xf numFmtId="0" fontId="19" fillId="54" borderId="22" applyNumberFormat="0" applyProtection="0">
      <alignment horizontal="left" vertical="center" indent="1"/>
    </xf>
    <xf numFmtId="0" fontId="19" fillId="54" borderId="22" applyNumberFormat="0" applyProtection="0">
      <alignment horizontal="left" vertical="top" indent="1"/>
    </xf>
    <xf numFmtId="0" fontId="19" fillId="54" borderId="22" applyNumberFormat="0" applyProtection="0">
      <alignment horizontal="left" vertical="top" indent="1"/>
    </xf>
    <xf numFmtId="0" fontId="19" fillId="54" borderId="22" applyNumberFormat="0" applyProtection="0">
      <alignment horizontal="left" vertical="top" indent="1"/>
    </xf>
    <xf numFmtId="0" fontId="19" fillId="54" borderId="22" applyNumberFormat="0" applyProtection="0">
      <alignment horizontal="left" vertical="top" indent="1"/>
    </xf>
    <xf numFmtId="0" fontId="19" fillId="55" borderId="22" applyNumberFormat="0" applyProtection="0">
      <alignment horizontal="left" vertical="center" indent="1"/>
    </xf>
    <xf numFmtId="0" fontId="19" fillId="55" borderId="22" applyNumberFormat="0" applyProtection="0">
      <alignment horizontal="left" vertical="center" indent="1"/>
    </xf>
    <xf numFmtId="0" fontId="19" fillId="55" borderId="22" applyNumberFormat="0" applyProtection="0">
      <alignment horizontal="left" vertical="center" indent="1"/>
    </xf>
    <xf numFmtId="0" fontId="19" fillId="55" borderId="22" applyNumberFormat="0" applyProtection="0">
      <alignment horizontal="left" vertical="center" indent="1"/>
    </xf>
    <xf numFmtId="0" fontId="19" fillId="55" borderId="22" applyNumberFormat="0" applyProtection="0">
      <alignment horizontal="left" vertical="top" indent="1"/>
    </xf>
    <xf numFmtId="0" fontId="19" fillId="55" borderId="22" applyNumberFormat="0" applyProtection="0">
      <alignment horizontal="left" vertical="top" indent="1"/>
    </xf>
    <xf numFmtId="0" fontId="19" fillId="55" borderId="22" applyNumberFormat="0" applyProtection="0">
      <alignment horizontal="left" vertical="top" indent="1"/>
    </xf>
    <xf numFmtId="0" fontId="19" fillId="55" borderId="22" applyNumberFormat="0" applyProtection="0">
      <alignment horizontal="left" vertical="top" indent="1"/>
    </xf>
    <xf numFmtId="4" fontId="47" fillId="35" borderId="22" applyNumberFormat="0" applyProtection="0">
      <alignment vertical="center"/>
    </xf>
    <xf numFmtId="4" fontId="51" fillId="35" borderId="22" applyNumberFormat="0" applyProtection="0">
      <alignment vertical="center"/>
    </xf>
    <xf numFmtId="4" fontId="47" fillId="35" borderId="22" applyNumberFormat="0" applyProtection="0">
      <alignment horizontal="left" vertical="center" indent="1"/>
    </xf>
    <xf numFmtId="0" fontId="47" fillId="35" borderId="22" applyNumberFormat="0" applyProtection="0">
      <alignment horizontal="left" vertical="top" indent="1"/>
    </xf>
    <xf numFmtId="4" fontId="47" fillId="0" borderId="22" applyNumberFormat="0" applyProtection="0">
      <alignment horizontal="right" vertical="center"/>
    </xf>
    <xf numFmtId="4" fontId="47" fillId="0" borderId="22" applyNumberFormat="0" applyProtection="0">
      <alignment horizontal="right" vertical="center"/>
    </xf>
    <xf numFmtId="4" fontId="51" fillId="49" borderId="22" applyNumberFormat="0" applyProtection="0">
      <alignment horizontal="right" vertical="center"/>
    </xf>
    <xf numFmtId="4" fontId="47" fillId="0" borderId="22" applyNumberFormat="0" applyProtection="0">
      <alignment horizontal="left" vertical="center" indent="1"/>
    </xf>
    <xf numFmtId="4" fontId="47" fillId="0" borderId="22" applyNumberFormat="0" applyProtection="0">
      <alignment horizontal="left" vertical="center" indent="1"/>
    </xf>
    <xf numFmtId="0" fontId="47" fillId="34" borderId="22" applyNumberFormat="0" applyProtection="0">
      <alignment horizontal="left" vertical="top"/>
    </xf>
    <xf numFmtId="0" fontId="47" fillId="34" borderId="22"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2" applyNumberFormat="0" applyProtection="0">
      <alignment horizontal="right" vertical="center"/>
    </xf>
    <xf numFmtId="37" fontId="52" fillId="57" borderId="0" applyNumberFormat="0" applyFont="0" applyBorder="0" applyAlignment="0" applyProtection="0"/>
    <xf numFmtId="175" fontId="19" fillId="0" borderId="15">
      <alignment horizontal="justify" vertical="top" wrapText="1"/>
    </xf>
    <xf numFmtId="0" fontId="19" fillId="0" borderId="0">
      <alignment horizontal="left" wrapText="1"/>
    </xf>
    <xf numFmtId="176"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3">
      <alignment horizontal="center" vertical="center" wrapText="1"/>
    </xf>
    <xf numFmtId="0" fontId="34" fillId="0" borderId="24" applyNumberFormat="0" applyFont="0" applyFill="0" applyAlignment="0" applyProtection="0"/>
    <xf numFmtId="0" fontId="35" fillId="0" borderId="25"/>
    <xf numFmtId="177" fontId="53" fillId="0" borderId="0">
      <alignment horizontal="left"/>
    </xf>
    <xf numFmtId="0" fontId="35" fillId="0" borderId="26"/>
    <xf numFmtId="37" fontId="21" fillId="38" borderId="0" applyNumberFormat="0" applyBorder="0" applyAlignment="0" applyProtection="0"/>
    <xf numFmtId="37" fontId="21" fillId="0" borderId="0"/>
    <xf numFmtId="3" fontId="54" fillId="58" borderId="27"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2" applyNumberFormat="0" applyProtection="0">
      <alignment horizontal="left" vertical="center" indent="1"/>
    </xf>
    <xf numFmtId="4" fontId="27" fillId="38" borderId="22" applyNumberFormat="0" applyProtection="0">
      <alignment horizontal="left" vertical="center" indent="1"/>
    </xf>
    <xf numFmtId="4" fontId="27" fillId="38" borderId="22" applyNumberFormat="0" applyProtection="0">
      <alignment horizontal="left" vertical="center" indent="1"/>
    </xf>
    <xf numFmtId="4" fontId="27" fillId="38" borderId="22" applyNumberFormat="0" applyProtection="0">
      <alignment horizontal="left" vertical="center" indent="1"/>
    </xf>
    <xf numFmtId="4" fontId="27" fillId="38" borderId="22" applyNumberFormat="0" applyProtection="0">
      <alignment vertical="center"/>
    </xf>
    <xf numFmtId="4" fontId="27" fillId="38" borderId="22" applyNumberFormat="0" applyProtection="0">
      <alignment horizontal="left" vertical="center" indent="1"/>
    </xf>
    <xf numFmtId="4" fontId="27" fillId="34" borderId="22" applyNumberFormat="0" applyProtection="0"/>
    <xf numFmtId="4" fontId="27" fillId="34" borderId="22" applyNumberFormat="0" applyProtection="0"/>
    <xf numFmtId="4" fontId="27" fillId="34" borderId="22" applyNumberFormat="0" applyProtection="0"/>
    <xf numFmtId="4" fontId="27" fillId="34" borderId="22" applyNumberFormat="0" applyProtection="0"/>
    <xf numFmtId="4" fontId="27" fillId="34" borderId="10" applyNumberFormat="0" applyProtection="0">
      <alignment vertical="center"/>
    </xf>
    <xf numFmtId="4" fontId="27" fillId="34" borderId="22"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2" applyNumberFormat="0" applyProtection="0">
      <alignment horizontal="left" vertical="center" indent="1"/>
    </xf>
    <xf numFmtId="0" fontId="19" fillId="50" borderId="22" applyNumberFormat="0" applyProtection="0">
      <alignment horizontal="left" vertical="top" indent="1"/>
    </xf>
    <xf numFmtId="0" fontId="19" fillId="34" borderId="22" applyNumberFormat="0" applyProtection="0">
      <alignment horizontal="left" vertical="center" indent="1"/>
    </xf>
    <xf numFmtId="0" fontId="19" fillId="34" borderId="22" applyNumberFormat="0" applyProtection="0">
      <alignment horizontal="left" vertical="top" indent="1"/>
    </xf>
    <xf numFmtId="0" fontId="19" fillId="54" borderId="22" applyNumberFormat="0" applyProtection="0">
      <alignment horizontal="left" vertical="center" indent="1"/>
    </xf>
    <xf numFmtId="0" fontId="19" fillId="54" borderId="22" applyNumberFormat="0" applyProtection="0">
      <alignment horizontal="left" vertical="top" indent="1"/>
    </xf>
    <xf numFmtId="0" fontId="19" fillId="55" borderId="22" applyNumberFormat="0" applyProtection="0">
      <alignment horizontal="left" vertical="center" indent="1"/>
    </xf>
    <xf numFmtId="0" fontId="19" fillId="55" borderId="22" applyNumberFormat="0" applyProtection="0">
      <alignment horizontal="left" vertical="top" indent="1"/>
    </xf>
    <xf numFmtId="4" fontId="47" fillId="0" borderId="22" applyNumberFormat="0" applyProtection="0">
      <alignment horizontal="right" vertical="center"/>
    </xf>
    <xf numFmtId="4" fontId="47" fillId="0" borderId="22" applyNumberFormat="0" applyProtection="0">
      <alignment horizontal="right" vertical="center"/>
    </xf>
    <xf numFmtId="4" fontId="47" fillId="0" borderId="22" applyNumberFormat="0" applyProtection="0">
      <alignment horizontal="right" vertical="center"/>
    </xf>
    <xf numFmtId="4" fontId="47" fillId="0" borderId="22" applyNumberFormat="0" applyProtection="0">
      <alignment horizontal="right" vertical="center"/>
    </xf>
    <xf numFmtId="4" fontId="47" fillId="59" borderId="28" applyNumberFormat="0" applyProtection="0">
      <alignment horizontal="right" vertical="center"/>
    </xf>
    <xf numFmtId="4" fontId="47" fillId="0" borderId="22" applyNumberFormat="0" applyProtection="0">
      <alignment horizontal="right" vertical="center"/>
    </xf>
    <xf numFmtId="4" fontId="47" fillId="0" borderId="22" applyNumberFormat="0" applyProtection="0">
      <alignment horizontal="left" vertical="center" indent="1"/>
    </xf>
    <xf numFmtId="4" fontId="47" fillId="0" borderId="22" applyNumberFormat="0" applyProtection="0">
      <alignment horizontal="left" vertical="center" indent="1"/>
    </xf>
    <xf numFmtId="4" fontId="47" fillId="0" borderId="22" applyNumberFormat="0" applyProtection="0">
      <alignment horizontal="left" vertical="center" indent="1"/>
    </xf>
    <xf numFmtId="4" fontId="47" fillId="0" borderId="22" applyNumberFormat="0" applyProtection="0">
      <alignment horizontal="left" vertical="center" indent="1"/>
    </xf>
    <xf numFmtId="4" fontId="47" fillId="59" borderId="22" applyNumberFormat="0" applyProtection="0">
      <alignment horizontal="left" vertical="center" indent="1"/>
    </xf>
    <xf numFmtId="4" fontId="47" fillId="0" borderId="22" applyNumberFormat="0" applyProtection="0">
      <alignment horizontal="left" vertical="center" indent="1"/>
    </xf>
    <xf numFmtId="0" fontId="47" fillId="34" borderId="22" applyNumberFormat="0" applyProtection="0">
      <alignment horizontal="left" vertical="top"/>
    </xf>
    <xf numFmtId="0" fontId="47" fillId="34" borderId="22" applyNumberFormat="0" applyProtection="0">
      <alignment horizontal="left" vertical="top"/>
    </xf>
    <xf numFmtId="0" fontId="47" fillId="34" borderId="22" applyNumberFormat="0" applyProtection="0">
      <alignment horizontal="left" vertical="top"/>
    </xf>
    <xf numFmtId="0" fontId="47" fillId="34" borderId="22" applyNumberFormat="0" applyProtection="0">
      <alignment horizontal="left" vertical="top"/>
    </xf>
    <xf numFmtId="0" fontId="47" fillId="34" borderId="22" applyNumberFormat="0" applyProtection="0">
      <alignment horizontal="center" vertical="top"/>
    </xf>
    <xf numFmtId="0" fontId="47" fillId="34" borderId="22"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8" fontId="19" fillId="0" borderId="0" applyFill="0" applyBorder="0" applyAlignment="0" applyProtection="0"/>
    <xf numFmtId="2" fontId="19" fillId="0" borderId="0" applyFill="0" applyBorder="0" applyAlignment="0" applyProtection="0"/>
    <xf numFmtId="0" fontId="26" fillId="0" borderId="29">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8" fontId="19" fillId="0" borderId="0" applyFill="0" applyBorder="0" applyAlignment="0" applyProtection="0"/>
    <xf numFmtId="4" fontId="47" fillId="51" borderId="22"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0"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2"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2" applyNumberFormat="0" applyProtection="0">
      <alignment horizontal="right" vertical="center"/>
    </xf>
    <xf numFmtId="4" fontId="47" fillId="0" borderId="22" applyNumberFormat="0" applyProtection="0">
      <alignment horizontal="left" vertical="center" indent="1"/>
    </xf>
    <xf numFmtId="0" fontId="47" fillId="34" borderId="22"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8" fontId="19" fillId="0" borderId="0" applyFill="0" applyBorder="0" applyAlignment="0" applyProtection="0"/>
    <xf numFmtId="37" fontId="19" fillId="0" borderId="0" applyFill="0" applyBorder="0" applyAlignment="0" applyProtection="0"/>
    <xf numFmtId="178"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8" fontId="19" fillId="0" borderId="0" applyFill="0" applyBorder="0" applyAlignment="0" applyProtection="0"/>
    <xf numFmtId="178" fontId="19" fillId="0" borderId="0" applyFill="0" applyBorder="0" applyAlignment="0" applyProtection="0"/>
    <xf numFmtId="4" fontId="27" fillId="34" borderId="10" applyNumberFormat="0" applyProtection="0">
      <alignment vertical="center"/>
    </xf>
    <xf numFmtId="178" fontId="19" fillId="0" borderId="0" applyFill="0" applyBorder="0" applyAlignment="0" applyProtection="0"/>
    <xf numFmtId="37" fontId="19" fillId="0" borderId="0" applyFill="0" applyBorder="0" applyAlignment="0" applyProtection="0"/>
    <xf numFmtId="178"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2"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18" applyNumberFormat="0" applyFont="0" applyFill="0" applyAlignment="0" applyProtection="0"/>
    <xf numFmtId="0" fontId="19" fillId="0" borderId="33"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3"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79"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3"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0" fontId="67" fillId="0" borderId="0">
      <alignment vertical="top"/>
    </xf>
    <xf numFmtId="18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0" fontId="67" fillId="0" borderId="0">
      <alignment vertical="top"/>
    </xf>
    <xf numFmtId="0" fontId="67" fillId="0" borderId="0">
      <alignment vertical="top"/>
    </xf>
    <xf numFmtId="0" fontId="67" fillId="0" borderId="0">
      <alignment vertical="top"/>
    </xf>
    <xf numFmtId="180" fontId="67" fillId="0" borderId="0">
      <alignment vertical="top"/>
    </xf>
    <xf numFmtId="180" fontId="67" fillId="0" borderId="0">
      <alignment vertical="top"/>
    </xf>
    <xf numFmtId="0" fontId="67" fillId="0" borderId="0">
      <alignment vertical="top"/>
    </xf>
    <xf numFmtId="0" fontId="67" fillId="0" borderId="0">
      <alignment vertical="top"/>
    </xf>
    <xf numFmtId="180" fontId="67" fillId="0" borderId="0">
      <alignment vertical="top"/>
    </xf>
    <xf numFmtId="0" fontId="67" fillId="0" borderId="0">
      <alignment vertical="top"/>
    </xf>
    <xf numFmtId="0" fontId="67" fillId="0" borderId="0">
      <alignment vertical="top"/>
    </xf>
    <xf numFmtId="0" fontId="67" fillId="0" borderId="0">
      <alignment vertical="top"/>
    </xf>
    <xf numFmtId="180" fontId="67" fillId="0" borderId="0">
      <alignment vertical="top"/>
    </xf>
    <xf numFmtId="180"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7"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0" applyNumberFormat="0" applyFont="0" applyFill="0" applyAlignment="0" applyProtection="0">
      <protection locked="0"/>
    </xf>
    <xf numFmtId="0" fontId="63" fillId="59" borderId="34"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4" applyFill="0" applyBorder="0" applyAlignment="0" applyProtection="0">
      <protection locked="0"/>
    </xf>
    <xf numFmtId="0" fontId="24" fillId="59" borderId="0" applyNumberFormat="0" applyFont="0" applyAlignment="0" applyProtection="0"/>
    <xf numFmtId="0" fontId="24" fillId="59" borderId="30"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19">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5" applyNumberFormat="0" applyProtection="0">
      <alignment vertical="center"/>
    </xf>
    <xf numFmtId="4" fontId="46" fillId="38" borderId="35" applyNumberFormat="0" applyProtection="0">
      <alignment vertical="center"/>
    </xf>
    <xf numFmtId="4" fontId="27" fillId="38" borderId="35" applyNumberFormat="0" applyProtection="0">
      <alignment horizontal="left" vertical="center" indent="1"/>
    </xf>
    <xf numFmtId="4" fontId="27" fillId="38" borderId="35" applyNumberFormat="0" applyProtection="0">
      <alignment horizontal="left" vertical="center" indent="1"/>
    </xf>
    <xf numFmtId="0" fontId="27" fillId="38" borderId="35" applyNumberFormat="0" applyProtection="0">
      <alignment horizontal="left" vertical="top" indent="1"/>
    </xf>
    <xf numFmtId="4" fontId="27" fillId="34" borderId="35" applyNumberFormat="0" applyProtection="0"/>
    <xf numFmtId="4" fontId="47" fillId="39" borderId="35" applyNumberFormat="0" applyProtection="0">
      <alignment horizontal="right" vertical="center"/>
    </xf>
    <xf numFmtId="4" fontId="47" fillId="40" borderId="35" applyNumberFormat="0" applyProtection="0">
      <alignment horizontal="right" vertical="center"/>
    </xf>
    <xf numFmtId="4" fontId="47" fillId="41" borderId="35" applyNumberFormat="0" applyProtection="0">
      <alignment horizontal="right" vertical="center"/>
    </xf>
    <xf numFmtId="4" fontId="47" fillId="42" borderId="35" applyNumberFormat="0" applyProtection="0">
      <alignment horizontal="right" vertical="center"/>
    </xf>
    <xf numFmtId="4" fontId="47" fillId="43" borderId="35" applyNumberFormat="0" applyProtection="0">
      <alignment horizontal="right" vertical="center"/>
    </xf>
    <xf numFmtId="4" fontId="47" fillId="44" borderId="35" applyNumberFormat="0" applyProtection="0">
      <alignment horizontal="right" vertical="center"/>
    </xf>
    <xf numFmtId="4" fontId="47" fillId="45" borderId="35" applyNumberFormat="0" applyProtection="0">
      <alignment horizontal="right" vertical="center"/>
    </xf>
    <xf numFmtId="4" fontId="47" fillId="46" borderId="35" applyNumberFormat="0" applyProtection="0">
      <alignment horizontal="right" vertical="center"/>
    </xf>
    <xf numFmtId="4" fontId="47" fillId="47" borderId="35" applyNumberFormat="0" applyProtection="0">
      <alignment horizontal="right" vertical="center"/>
    </xf>
    <xf numFmtId="4" fontId="47" fillId="51" borderId="35" applyNumberFormat="0" applyProtection="0">
      <alignment horizontal="right" vertical="center"/>
    </xf>
    <xf numFmtId="0" fontId="19" fillId="50" borderId="35" applyNumberFormat="0" applyProtection="0">
      <alignment horizontal="left" vertical="center" indent="1"/>
    </xf>
    <xf numFmtId="0" fontId="19" fillId="50" borderId="35" applyNumberFormat="0" applyProtection="0">
      <alignment horizontal="left" vertical="center" indent="1"/>
    </xf>
    <xf numFmtId="0" fontId="19" fillId="50" borderId="35" applyNumberFormat="0" applyProtection="0">
      <alignment horizontal="left" vertical="center" indent="1"/>
    </xf>
    <xf numFmtId="0" fontId="19" fillId="50" borderId="35" applyNumberFormat="0" applyProtection="0">
      <alignment horizontal="left" vertical="center" indent="1"/>
    </xf>
    <xf numFmtId="0" fontId="19" fillId="50" borderId="35" applyNumberFormat="0" applyProtection="0">
      <alignment horizontal="left" vertical="top" indent="1"/>
    </xf>
    <xf numFmtId="0" fontId="19" fillId="50" borderId="35" applyNumberFormat="0" applyProtection="0">
      <alignment horizontal="left" vertical="top" indent="1"/>
    </xf>
    <xf numFmtId="0" fontId="19" fillId="50" borderId="35" applyNumberFormat="0" applyProtection="0">
      <alignment horizontal="left" vertical="top" indent="1"/>
    </xf>
    <xf numFmtId="0" fontId="19" fillId="50" borderId="35" applyNumberFormat="0" applyProtection="0">
      <alignment horizontal="left" vertical="top" indent="1"/>
    </xf>
    <xf numFmtId="0" fontId="19" fillId="34" borderId="35" applyNumberFormat="0" applyProtection="0">
      <alignment horizontal="left" vertical="center" indent="1"/>
    </xf>
    <xf numFmtId="0" fontId="19" fillId="34" borderId="35" applyNumberFormat="0" applyProtection="0">
      <alignment horizontal="left" vertical="center" indent="1"/>
    </xf>
    <xf numFmtId="0" fontId="19" fillId="34" borderId="35" applyNumberFormat="0" applyProtection="0">
      <alignment horizontal="left" vertical="center" indent="1"/>
    </xf>
    <xf numFmtId="0" fontId="19" fillId="34" borderId="35" applyNumberFormat="0" applyProtection="0">
      <alignment horizontal="left" vertical="center" indent="1"/>
    </xf>
    <xf numFmtId="0" fontId="19" fillId="34" borderId="35" applyNumberFormat="0" applyProtection="0">
      <alignment horizontal="left" vertical="top" indent="1"/>
    </xf>
    <xf numFmtId="0" fontId="19" fillId="34" borderId="35" applyNumberFormat="0" applyProtection="0">
      <alignment horizontal="left" vertical="top" indent="1"/>
    </xf>
    <xf numFmtId="0" fontId="19" fillId="34" borderId="35" applyNumberFormat="0" applyProtection="0">
      <alignment horizontal="left" vertical="top" indent="1"/>
    </xf>
    <xf numFmtId="0" fontId="19" fillId="34" borderId="35" applyNumberFormat="0" applyProtection="0">
      <alignment horizontal="left" vertical="top" indent="1"/>
    </xf>
    <xf numFmtId="0" fontId="19" fillId="54" borderId="35" applyNumberFormat="0" applyProtection="0">
      <alignment horizontal="left" vertical="center" indent="1"/>
    </xf>
    <xf numFmtId="0" fontId="19" fillId="54" borderId="35" applyNumberFormat="0" applyProtection="0">
      <alignment horizontal="left" vertical="center" indent="1"/>
    </xf>
    <xf numFmtId="0" fontId="19" fillId="54" borderId="35" applyNumberFormat="0" applyProtection="0">
      <alignment horizontal="left" vertical="center" indent="1"/>
    </xf>
    <xf numFmtId="0" fontId="19" fillId="54" borderId="35" applyNumberFormat="0" applyProtection="0">
      <alignment horizontal="left" vertical="center" indent="1"/>
    </xf>
    <xf numFmtId="0" fontId="19" fillId="54" borderId="35" applyNumberFormat="0" applyProtection="0">
      <alignment horizontal="left" vertical="top" indent="1"/>
    </xf>
    <xf numFmtId="0" fontId="19" fillId="54" borderId="35" applyNumberFormat="0" applyProtection="0">
      <alignment horizontal="left" vertical="top" indent="1"/>
    </xf>
    <xf numFmtId="0" fontId="19" fillId="54" borderId="35" applyNumberFormat="0" applyProtection="0">
      <alignment horizontal="left" vertical="top" indent="1"/>
    </xf>
    <xf numFmtId="0" fontId="19" fillId="54" borderId="35" applyNumberFormat="0" applyProtection="0">
      <alignment horizontal="left" vertical="top" indent="1"/>
    </xf>
    <xf numFmtId="0" fontId="19" fillId="55" borderId="35" applyNumberFormat="0" applyProtection="0">
      <alignment horizontal="left" vertical="center" indent="1"/>
    </xf>
    <xf numFmtId="0" fontId="19" fillId="55" borderId="35" applyNumberFormat="0" applyProtection="0">
      <alignment horizontal="left" vertical="center" indent="1"/>
    </xf>
    <xf numFmtId="0" fontId="19" fillId="55" borderId="35" applyNumberFormat="0" applyProtection="0">
      <alignment horizontal="left" vertical="center" indent="1"/>
    </xf>
    <xf numFmtId="0" fontId="19" fillId="55" borderId="35" applyNumberFormat="0" applyProtection="0">
      <alignment horizontal="left" vertical="center" indent="1"/>
    </xf>
    <xf numFmtId="0" fontId="19" fillId="55" borderId="35" applyNumberFormat="0" applyProtection="0">
      <alignment horizontal="left" vertical="top" indent="1"/>
    </xf>
    <xf numFmtId="0" fontId="19" fillId="55" borderId="35" applyNumberFormat="0" applyProtection="0">
      <alignment horizontal="left" vertical="top" indent="1"/>
    </xf>
    <xf numFmtId="0" fontId="19" fillId="55" borderId="35" applyNumberFormat="0" applyProtection="0">
      <alignment horizontal="left" vertical="top" indent="1"/>
    </xf>
    <xf numFmtId="0" fontId="19" fillId="55" borderId="35" applyNumberFormat="0" applyProtection="0">
      <alignment horizontal="left" vertical="top" indent="1"/>
    </xf>
    <xf numFmtId="4" fontId="47" fillId="35" borderId="35" applyNumberFormat="0" applyProtection="0">
      <alignment vertical="center"/>
    </xf>
    <xf numFmtId="4" fontId="51" fillId="35" borderId="35" applyNumberFormat="0" applyProtection="0">
      <alignment vertical="center"/>
    </xf>
    <xf numFmtId="4" fontId="47" fillId="35" borderId="35" applyNumberFormat="0" applyProtection="0">
      <alignment horizontal="left" vertical="center" indent="1"/>
    </xf>
    <xf numFmtId="0" fontId="47" fillId="35" borderId="35" applyNumberFormat="0" applyProtection="0">
      <alignment horizontal="left" vertical="top" indent="1"/>
    </xf>
    <xf numFmtId="4" fontId="47" fillId="0" borderId="35" applyNumberFormat="0" applyProtection="0">
      <alignment horizontal="right" vertical="center"/>
    </xf>
    <xf numFmtId="4" fontId="47" fillId="0" borderId="35" applyNumberFormat="0" applyProtection="0">
      <alignment horizontal="right" vertical="center"/>
    </xf>
    <xf numFmtId="4" fontId="51" fillId="49" borderId="35" applyNumberFormat="0" applyProtection="0">
      <alignment horizontal="right" vertical="center"/>
    </xf>
    <xf numFmtId="4" fontId="47" fillId="0" borderId="35" applyNumberFormat="0" applyProtection="0">
      <alignment horizontal="left" vertical="center" indent="1"/>
    </xf>
    <xf numFmtId="4" fontId="47" fillId="0" borderId="35" applyNumberFormat="0" applyProtection="0">
      <alignment horizontal="left" vertical="center" indent="1"/>
    </xf>
    <xf numFmtId="0" fontId="47" fillId="34" borderId="35" applyNumberFormat="0" applyProtection="0">
      <alignment horizontal="left" vertical="top"/>
    </xf>
    <xf numFmtId="0" fontId="47" fillId="34" borderId="35" applyNumberFormat="0" applyProtection="0">
      <alignment horizontal="left" vertical="top"/>
    </xf>
    <xf numFmtId="4" fontId="25" fillId="49" borderId="35" applyNumberFormat="0" applyProtection="0">
      <alignment horizontal="right" vertical="center"/>
    </xf>
    <xf numFmtId="0" fontId="34" fillId="0" borderId="24"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5" applyNumberFormat="0" applyProtection="0">
      <alignment horizontal="left" vertical="center" indent="1"/>
    </xf>
    <xf numFmtId="4" fontId="27" fillId="38" borderId="35" applyNumberFormat="0" applyProtection="0">
      <alignment horizontal="left" vertical="center" indent="1"/>
    </xf>
    <xf numFmtId="4" fontId="27" fillId="38" borderId="35" applyNumberFormat="0" applyProtection="0">
      <alignment horizontal="left" vertical="center" indent="1"/>
    </xf>
    <xf numFmtId="4" fontId="27" fillId="38" borderId="35" applyNumberFormat="0" applyProtection="0">
      <alignment horizontal="left" vertical="center" indent="1"/>
    </xf>
    <xf numFmtId="4" fontId="27" fillId="38" borderId="35" applyNumberFormat="0" applyProtection="0">
      <alignment vertical="center"/>
    </xf>
    <xf numFmtId="4" fontId="27" fillId="34" borderId="35" applyNumberFormat="0" applyProtection="0"/>
    <xf numFmtId="4" fontId="27" fillId="34" borderId="35" applyNumberFormat="0" applyProtection="0"/>
    <xf numFmtId="4" fontId="27" fillId="34" borderId="35" applyNumberFormat="0" applyProtection="0"/>
    <xf numFmtId="4" fontId="27" fillId="34" borderId="35" applyNumberFormat="0" applyProtection="0"/>
    <xf numFmtId="4" fontId="27" fillId="34" borderId="32" applyNumberFormat="0" applyProtection="0">
      <alignment vertical="center"/>
    </xf>
    <xf numFmtId="0" fontId="19" fillId="50" borderId="35" applyNumberFormat="0" applyProtection="0">
      <alignment horizontal="left" vertical="center" indent="1"/>
    </xf>
    <xf numFmtId="0" fontId="19" fillId="50" borderId="35" applyNumberFormat="0" applyProtection="0">
      <alignment horizontal="left" vertical="top" indent="1"/>
    </xf>
    <xf numFmtId="0" fontId="19" fillId="34" borderId="35" applyNumberFormat="0" applyProtection="0">
      <alignment horizontal="left" vertical="center" indent="1"/>
    </xf>
    <xf numFmtId="0" fontId="19" fillId="34" borderId="35" applyNumberFormat="0" applyProtection="0">
      <alignment horizontal="left" vertical="top" indent="1"/>
    </xf>
    <xf numFmtId="0" fontId="19" fillId="54" borderId="35" applyNumberFormat="0" applyProtection="0">
      <alignment horizontal="left" vertical="center" indent="1"/>
    </xf>
    <xf numFmtId="0" fontId="19" fillId="54" borderId="35" applyNumberFormat="0" applyProtection="0">
      <alignment horizontal="left" vertical="top" indent="1"/>
    </xf>
    <xf numFmtId="0" fontId="19" fillId="55" borderId="35" applyNumberFormat="0" applyProtection="0">
      <alignment horizontal="left" vertical="center" indent="1"/>
    </xf>
    <xf numFmtId="0" fontId="19" fillId="55" borderId="35" applyNumberFormat="0" applyProtection="0">
      <alignment horizontal="left" vertical="top" indent="1"/>
    </xf>
    <xf numFmtId="4" fontId="47" fillId="0" borderId="35" applyNumberFormat="0" applyProtection="0">
      <alignment horizontal="right" vertical="center"/>
    </xf>
    <xf numFmtId="4" fontId="47" fillId="0" borderId="35" applyNumberFormat="0" applyProtection="0">
      <alignment horizontal="right" vertical="center"/>
    </xf>
    <xf numFmtId="4" fontId="47" fillId="0" borderId="35" applyNumberFormat="0" applyProtection="0">
      <alignment horizontal="right" vertical="center"/>
    </xf>
    <xf numFmtId="4" fontId="47" fillId="0" borderId="35" applyNumberFormat="0" applyProtection="0">
      <alignment horizontal="right" vertical="center"/>
    </xf>
    <xf numFmtId="4" fontId="47" fillId="0" borderId="35" applyNumberFormat="0" applyProtection="0">
      <alignment horizontal="left" vertical="center" indent="1"/>
    </xf>
    <xf numFmtId="4" fontId="47" fillId="0" borderId="35" applyNumberFormat="0" applyProtection="0">
      <alignment horizontal="left" vertical="center" indent="1"/>
    </xf>
    <xf numFmtId="4" fontId="47" fillId="0" borderId="35" applyNumberFormat="0" applyProtection="0">
      <alignment horizontal="left" vertical="center" indent="1"/>
    </xf>
    <xf numFmtId="4" fontId="47" fillId="0" borderId="35" applyNumberFormat="0" applyProtection="0">
      <alignment horizontal="left" vertical="center" indent="1"/>
    </xf>
    <xf numFmtId="4" fontId="47" fillId="59" borderId="35" applyNumberFormat="0" applyProtection="0">
      <alignment horizontal="left" vertical="center" indent="1"/>
    </xf>
    <xf numFmtId="0" fontId="47" fillId="34" borderId="35" applyNumberFormat="0" applyProtection="0">
      <alignment horizontal="left" vertical="top"/>
    </xf>
    <xf numFmtId="0" fontId="47" fillId="34" borderId="35" applyNumberFormat="0" applyProtection="0">
      <alignment horizontal="left" vertical="top"/>
    </xf>
    <xf numFmtId="0" fontId="47" fillId="34" borderId="35" applyNumberFormat="0" applyProtection="0">
      <alignment horizontal="left" vertical="top"/>
    </xf>
    <xf numFmtId="0" fontId="47" fillId="34" borderId="35" applyNumberFormat="0" applyProtection="0">
      <alignment horizontal="left" vertical="top"/>
    </xf>
    <xf numFmtId="0" fontId="47" fillId="34" borderId="35"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19">
      <alignment horizontal="left" vertical="center"/>
    </xf>
    <xf numFmtId="0" fontId="1" fillId="0" borderId="0"/>
    <xf numFmtId="43" fontId="1" fillId="0" borderId="0" applyFont="0" applyFill="0" applyBorder="0" applyAlignment="0" applyProtection="0"/>
    <xf numFmtId="4" fontId="47" fillId="51" borderId="35"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5" applyNumberFormat="0" applyProtection="0">
      <alignment horizontal="left" vertical="center" indent="1"/>
    </xf>
    <xf numFmtId="4" fontId="47" fillId="0" borderId="35" applyNumberFormat="0" applyProtection="0">
      <alignment horizontal="right" vertical="center"/>
    </xf>
    <xf numFmtId="4" fontId="47" fillId="0" borderId="35" applyNumberFormat="0" applyProtection="0">
      <alignment horizontal="left" vertical="center" indent="1"/>
    </xf>
    <xf numFmtId="0" fontId="47" fillId="34" borderId="35"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2"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2"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4"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3" applyNumberFormat="0" applyFill="0" applyAlignment="0" applyProtection="0"/>
    <xf numFmtId="0" fontId="102" fillId="79" borderId="36" applyNumberFormat="0" applyAlignment="0" applyProtection="0"/>
    <xf numFmtId="0" fontId="102" fillId="79" borderId="36" applyNumberFormat="0" applyAlignment="0" applyProtection="0"/>
    <xf numFmtId="0" fontId="102" fillId="79" borderId="36" applyNumberFormat="0" applyAlignment="0" applyProtection="0"/>
    <xf numFmtId="0" fontId="102" fillId="79" borderId="36" applyNumberFormat="0" applyAlignment="0" applyProtection="0"/>
    <xf numFmtId="0" fontId="103" fillId="69" borderId="37" applyNumberFormat="0" applyAlignment="0" applyProtection="0"/>
    <xf numFmtId="0" fontId="103" fillId="69" borderId="37" applyNumberFormat="0" applyAlignment="0" applyProtection="0"/>
    <xf numFmtId="0" fontId="103" fillId="69" borderId="37" applyNumberFormat="0" applyAlignment="0" applyProtection="0"/>
    <xf numFmtId="0" fontId="103" fillId="69" borderId="37"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8"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3"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36" applyNumberFormat="0" applyAlignment="0" applyProtection="0"/>
    <xf numFmtId="0" fontId="110" fillId="77" borderId="36" applyNumberFormat="0" applyAlignment="0" applyProtection="0"/>
    <xf numFmtId="0" fontId="110" fillId="77" borderId="36" applyNumberFormat="0" applyAlignment="0" applyProtection="0"/>
    <xf numFmtId="0" fontId="110" fillId="77" borderId="36"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1" applyNumberFormat="0" applyFill="0" applyAlignment="0" applyProtection="0"/>
    <xf numFmtId="0" fontId="111" fillId="0" borderId="41" applyNumberFormat="0" applyFill="0" applyAlignment="0" applyProtection="0"/>
    <xf numFmtId="0" fontId="111" fillId="0" borderId="41" applyNumberFormat="0" applyFill="0" applyAlignment="0" applyProtection="0"/>
    <xf numFmtId="0" fontId="111" fillId="0" borderId="41"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4"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0" fontId="67" fillId="0" borderId="0">
      <alignment vertical="top"/>
    </xf>
    <xf numFmtId="18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0" fontId="67" fillId="0" borderId="0">
      <alignment vertical="top"/>
    </xf>
    <xf numFmtId="0" fontId="67" fillId="0" borderId="0">
      <alignment vertical="top"/>
    </xf>
    <xf numFmtId="0" fontId="67" fillId="0" borderId="0">
      <alignment vertical="top"/>
    </xf>
    <xf numFmtId="180" fontId="67" fillId="0" borderId="0">
      <alignment vertical="top"/>
    </xf>
    <xf numFmtId="180" fontId="67" fillId="0" borderId="0">
      <alignment vertical="top"/>
    </xf>
    <xf numFmtId="0" fontId="67" fillId="0" borderId="0">
      <alignment vertical="top"/>
    </xf>
    <xf numFmtId="0" fontId="67" fillId="0" borderId="0">
      <alignment vertical="top"/>
    </xf>
    <xf numFmtId="180" fontId="67" fillId="0" borderId="0">
      <alignment vertical="top"/>
    </xf>
    <xf numFmtId="0" fontId="67" fillId="0" borderId="0">
      <alignment vertical="top"/>
    </xf>
    <xf numFmtId="0" fontId="67" fillId="0" borderId="0">
      <alignment vertical="top"/>
    </xf>
    <xf numFmtId="0" fontId="67" fillId="0" borderId="0">
      <alignment vertical="top"/>
    </xf>
    <xf numFmtId="180" fontId="67" fillId="0" borderId="0">
      <alignment vertical="top"/>
    </xf>
    <xf numFmtId="180"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5" applyNumberFormat="0" applyProtection="0">
      <alignment horizontal="left" vertical="center" indent="1"/>
    </xf>
    <xf numFmtId="0" fontId="19" fillId="84" borderId="35" applyNumberFormat="0" applyProtection="0">
      <alignment horizontal="left" vertical="center" indent="1"/>
    </xf>
    <xf numFmtId="0" fontId="19" fillId="84" borderId="35" applyNumberFormat="0" applyProtection="0">
      <alignment horizontal="left" vertical="top" indent="1"/>
    </xf>
    <xf numFmtId="0" fontId="19" fillId="84" borderId="35" applyNumberFormat="0" applyProtection="0">
      <alignment horizontal="left" vertical="top" indent="1"/>
    </xf>
    <xf numFmtId="0" fontId="19" fillId="51" borderId="35" applyNumberFormat="0" applyProtection="0">
      <alignment horizontal="left" vertical="center" indent="1"/>
    </xf>
    <xf numFmtId="0" fontId="19" fillId="51" borderId="35" applyNumberFormat="0" applyProtection="0">
      <alignment horizontal="left" vertical="center" indent="1"/>
    </xf>
    <xf numFmtId="0" fontId="19" fillId="51" borderId="35" applyNumberFormat="0" applyProtection="0">
      <alignment horizontal="left" vertical="top" indent="1"/>
    </xf>
    <xf numFmtId="0" fontId="19" fillId="51" borderId="35" applyNumberFormat="0" applyProtection="0">
      <alignment horizontal="left" vertical="top" indent="1"/>
    </xf>
    <xf numFmtId="0" fontId="23" fillId="0" borderId="0" applyNumberFormat="0" applyFill="0" applyBorder="0" applyAlignment="0" applyProtection="0"/>
    <xf numFmtId="0" fontId="19" fillId="85" borderId="35" applyNumberFormat="0" applyProtection="0">
      <alignment horizontal="left" vertical="center" indent="1"/>
    </xf>
    <xf numFmtId="0" fontId="19" fillId="85" borderId="35" applyNumberFormat="0" applyProtection="0">
      <alignment horizontal="left" vertical="center" indent="1"/>
    </xf>
    <xf numFmtId="0" fontId="19" fillId="85" borderId="35" applyNumberFormat="0" applyProtection="0">
      <alignment horizontal="left" vertical="top" indent="1"/>
    </xf>
    <xf numFmtId="0" fontId="19" fillId="85" borderId="35" applyNumberFormat="0" applyProtection="0">
      <alignment horizontal="left" vertical="top" indent="1"/>
    </xf>
    <xf numFmtId="0" fontId="19" fillId="49" borderId="35" applyNumberFormat="0" applyProtection="0">
      <alignment horizontal="left" vertical="center" indent="1"/>
    </xf>
    <xf numFmtId="0" fontId="19" fillId="49" borderId="35" applyNumberFormat="0" applyProtection="0">
      <alignment horizontal="left" vertical="center" indent="1"/>
    </xf>
    <xf numFmtId="0" fontId="19" fillId="49" borderId="35" applyNumberFormat="0" applyProtection="0">
      <alignment horizontal="left" vertical="top" indent="1"/>
    </xf>
    <xf numFmtId="0" fontId="19" fillId="49" borderId="35" applyNumberFormat="0" applyProtection="0">
      <alignment horizontal="left" vertical="top" indent="1"/>
    </xf>
    <xf numFmtId="0" fontId="19" fillId="61" borderId="13" applyNumberFormat="0">
      <protection locked="0"/>
    </xf>
    <xf numFmtId="0" fontId="19" fillId="61" borderId="13" applyNumberFormat="0">
      <protection locked="0"/>
    </xf>
    <xf numFmtId="0" fontId="19" fillId="61" borderId="13"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38" fontId="47" fillId="0" borderId="14" applyFill="0" applyBorder="0" applyAlignment="0" applyProtection="0">
      <protection locked="0"/>
    </xf>
    <xf numFmtId="0" fontId="65" fillId="0" borderId="45"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4" fontId="32" fillId="0" borderId="0" applyFont="0" applyFill="0" applyBorder="0" applyProtection="0"/>
    <xf numFmtId="174" fontId="32" fillId="0" borderId="0" applyFont="0" applyFill="0" applyBorder="0" applyProtection="0"/>
    <xf numFmtId="174" fontId="32" fillId="0" borderId="0" applyFont="0" applyFill="0" applyBorder="0" applyProtection="0"/>
    <xf numFmtId="0" fontId="67" fillId="0" borderId="0">
      <alignment vertical="top"/>
    </xf>
    <xf numFmtId="0" fontId="67" fillId="0" borderId="0">
      <alignment vertical="top"/>
    </xf>
    <xf numFmtId="0" fontId="19" fillId="0" borderId="0"/>
    <xf numFmtId="178" fontId="19" fillId="0" borderId="0" applyFill="0" applyBorder="0" applyAlignment="0" applyProtection="0"/>
    <xf numFmtId="0" fontId="1" fillId="0" borderId="0"/>
    <xf numFmtId="178"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4"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8" fontId="19" fillId="0" borderId="0" applyFill="0" applyBorder="0" applyAlignment="0" applyProtection="0"/>
    <xf numFmtId="37" fontId="19" fillId="0" borderId="0" applyFill="0" applyBorder="0" applyAlignment="0" applyProtection="0"/>
    <xf numFmtId="178" fontId="19" fillId="0" borderId="0" applyFill="0" applyBorder="0" applyAlignment="0" applyProtection="0"/>
    <xf numFmtId="178" fontId="19" fillId="0" borderId="0" applyFill="0" applyBorder="0" applyAlignment="0" applyProtection="0"/>
    <xf numFmtId="178"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8" fontId="19" fillId="0" borderId="0" applyFill="0" applyBorder="0" applyAlignment="0" applyProtection="0"/>
    <xf numFmtId="178"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4"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4"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8" fontId="19" fillId="0" borderId="0" applyFill="0" applyBorder="0" applyAlignment="0" applyProtection="0"/>
    <xf numFmtId="178" fontId="19" fillId="0" borderId="0" applyFill="0" applyBorder="0" applyAlignment="0" applyProtection="0"/>
    <xf numFmtId="0" fontId="19" fillId="0" borderId="0"/>
    <xf numFmtId="178" fontId="19" fillId="0" borderId="0" applyFill="0" applyBorder="0" applyAlignment="0" applyProtection="0"/>
    <xf numFmtId="0" fontId="67" fillId="0" borderId="0">
      <alignment vertical="top"/>
    </xf>
    <xf numFmtId="178" fontId="19" fillId="0" borderId="0" applyFill="0" applyBorder="0" applyAlignment="0" applyProtection="0"/>
    <xf numFmtId="0" fontId="19" fillId="0" borderId="0"/>
    <xf numFmtId="178"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8"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8"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5">
      <alignment horizontal="left"/>
    </xf>
    <xf numFmtId="0" fontId="24" fillId="59" borderId="46" applyNumberFormat="0" applyFont="0" applyAlignment="0" applyProtection="0">
      <protection locked="0"/>
    </xf>
    <xf numFmtId="0" fontId="19" fillId="0" borderId="0" applyFont="0" applyFill="0" applyBorder="0" applyAlignment="0" applyProtection="0"/>
    <xf numFmtId="0" fontId="63" fillId="59" borderId="46"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3"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5" applyNumberFormat="0" applyProtection="0">
      <alignment horizontal="right" vertical="center"/>
    </xf>
    <xf numFmtId="0" fontId="47" fillId="34" borderId="35" applyNumberFormat="0" applyProtection="0">
      <alignment horizontal="left" vertical="top"/>
    </xf>
    <xf numFmtId="4" fontId="47" fillId="0" borderId="35" applyNumberFormat="0" applyProtection="0">
      <alignment horizontal="left" vertical="center" indent="1"/>
    </xf>
    <xf numFmtId="4" fontId="51" fillId="49" borderId="35" applyNumberFormat="0" applyProtection="0">
      <alignment horizontal="right" vertical="center"/>
    </xf>
    <xf numFmtId="4" fontId="47" fillId="0" borderId="35" applyNumberFormat="0" applyProtection="0">
      <alignment horizontal="right" vertical="center"/>
    </xf>
    <xf numFmtId="0" fontId="47" fillId="35" borderId="35" applyNumberFormat="0" applyProtection="0">
      <alignment horizontal="left" vertical="top" indent="1"/>
    </xf>
    <xf numFmtId="4" fontId="47" fillId="35" borderId="35" applyNumberFormat="0" applyProtection="0">
      <alignment horizontal="left" vertical="center" indent="1"/>
    </xf>
    <xf numFmtId="4" fontId="51" fillId="35" borderId="35" applyNumberFormat="0" applyProtection="0">
      <alignment vertical="center"/>
    </xf>
    <xf numFmtId="4" fontId="47" fillId="35" borderId="35" applyNumberFormat="0" applyProtection="0">
      <alignment vertical="center"/>
    </xf>
    <xf numFmtId="0" fontId="19" fillId="49" borderId="35" applyNumberFormat="0" applyProtection="0">
      <alignment horizontal="left" vertical="top" indent="1"/>
    </xf>
    <xf numFmtId="0" fontId="19" fillId="49" borderId="35" applyNumberFormat="0" applyProtection="0">
      <alignment horizontal="left" vertical="top" indent="1"/>
    </xf>
    <xf numFmtId="0" fontId="19" fillId="55" borderId="35" applyNumberFormat="0" applyProtection="0">
      <alignment horizontal="left" vertical="top" indent="1"/>
    </xf>
    <xf numFmtId="0" fontId="19" fillId="49" borderId="35" applyNumberFormat="0" applyProtection="0">
      <alignment horizontal="left" vertical="center" indent="1"/>
    </xf>
    <xf numFmtId="0" fontId="19" fillId="49" borderId="35" applyNumberFormat="0" applyProtection="0">
      <alignment horizontal="left" vertical="center" indent="1"/>
    </xf>
    <xf numFmtId="0" fontId="19" fillId="55" borderId="35" applyNumberFormat="0" applyProtection="0">
      <alignment horizontal="left" vertical="center" indent="1"/>
    </xf>
    <xf numFmtId="0" fontId="19" fillId="85" borderId="35" applyNumberFormat="0" applyProtection="0">
      <alignment horizontal="left" vertical="top" indent="1"/>
    </xf>
    <xf numFmtId="0" fontId="19" fillId="85" borderId="35" applyNumberFormat="0" applyProtection="0">
      <alignment horizontal="left" vertical="top" indent="1"/>
    </xf>
    <xf numFmtId="0" fontId="19" fillId="54" borderId="35" applyNumberFormat="0" applyProtection="0">
      <alignment horizontal="left" vertical="top" indent="1"/>
    </xf>
    <xf numFmtId="0" fontId="19" fillId="85" borderId="35" applyNumberFormat="0" applyProtection="0">
      <alignment horizontal="left" vertical="center" indent="1"/>
    </xf>
    <xf numFmtId="0" fontId="19" fillId="85" borderId="35" applyNumberFormat="0" applyProtection="0">
      <alignment horizontal="left" vertical="center" indent="1"/>
    </xf>
    <xf numFmtId="0" fontId="19" fillId="54" borderId="35" applyNumberFormat="0" applyProtection="0">
      <alignment horizontal="left" vertical="center" indent="1"/>
    </xf>
    <xf numFmtId="0" fontId="19" fillId="51" borderId="35" applyNumberFormat="0" applyProtection="0">
      <alignment horizontal="left" vertical="top" indent="1"/>
    </xf>
    <xf numFmtId="0" fontId="19" fillId="51" borderId="35" applyNumberFormat="0" applyProtection="0">
      <alignment horizontal="left" vertical="top" indent="1"/>
    </xf>
    <xf numFmtId="0" fontId="19" fillId="34" borderId="35" applyNumberFormat="0" applyProtection="0">
      <alignment horizontal="left" vertical="top" indent="1"/>
    </xf>
    <xf numFmtId="0" fontId="19" fillId="51" borderId="35" applyNumberFormat="0" applyProtection="0">
      <alignment horizontal="left" vertical="center" indent="1"/>
    </xf>
    <xf numFmtId="0" fontId="19" fillId="51" borderId="35" applyNumberFormat="0" applyProtection="0">
      <alignment horizontal="left" vertical="center" indent="1"/>
    </xf>
    <xf numFmtId="0" fontId="19" fillId="34" borderId="35" applyNumberFormat="0" applyProtection="0">
      <alignment horizontal="left" vertical="center" indent="1"/>
    </xf>
    <xf numFmtId="0" fontId="19" fillId="84" borderId="35" applyNumberFormat="0" applyProtection="0">
      <alignment horizontal="left" vertical="top" indent="1"/>
    </xf>
    <xf numFmtId="0" fontId="19" fillId="84" borderId="35" applyNumberFormat="0" applyProtection="0">
      <alignment horizontal="left" vertical="top" indent="1"/>
    </xf>
    <xf numFmtId="0" fontId="19" fillId="50" borderId="35" applyNumberFormat="0" applyProtection="0">
      <alignment horizontal="left" vertical="top" indent="1"/>
    </xf>
    <xf numFmtId="0" fontId="19" fillId="84" borderId="35" applyNumberFormat="0" applyProtection="0">
      <alignment horizontal="left" vertical="center" indent="1"/>
    </xf>
    <xf numFmtId="0" fontId="19" fillId="84" borderId="35" applyNumberFormat="0" applyProtection="0">
      <alignment horizontal="left" vertical="center" indent="1"/>
    </xf>
    <xf numFmtId="0" fontId="19" fillId="50" borderId="35"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5" applyNumberFormat="0" applyProtection="0">
      <alignment horizontal="right" vertical="center"/>
    </xf>
    <xf numFmtId="4" fontId="47" fillId="47" borderId="35" applyNumberFormat="0" applyProtection="0">
      <alignment horizontal="right" vertical="center"/>
    </xf>
    <xf numFmtId="4" fontId="47" fillId="46" borderId="35" applyNumberFormat="0" applyProtection="0">
      <alignment horizontal="right" vertical="center"/>
    </xf>
    <xf numFmtId="4" fontId="47" fillId="45" borderId="35" applyNumberFormat="0" applyProtection="0">
      <alignment horizontal="right" vertical="center"/>
    </xf>
    <xf numFmtId="4" fontId="47" fillId="44" borderId="35" applyNumberFormat="0" applyProtection="0">
      <alignment horizontal="right" vertical="center"/>
    </xf>
    <xf numFmtId="4" fontId="47" fillId="43" borderId="35" applyNumberFormat="0" applyProtection="0">
      <alignment horizontal="right" vertical="center"/>
    </xf>
    <xf numFmtId="4" fontId="47" fillId="42" borderId="35" applyNumberFormat="0" applyProtection="0">
      <alignment horizontal="right" vertical="center"/>
    </xf>
    <xf numFmtId="4" fontId="47" fillId="41" borderId="35" applyNumberFormat="0" applyProtection="0">
      <alignment horizontal="right" vertical="center"/>
    </xf>
    <xf numFmtId="4" fontId="47" fillId="40" borderId="35" applyNumberFormat="0" applyProtection="0">
      <alignment horizontal="right" vertical="center"/>
    </xf>
    <xf numFmtId="4" fontId="47" fillId="39" borderId="35" applyNumberFormat="0" applyProtection="0">
      <alignment horizontal="right" vertical="center"/>
    </xf>
    <xf numFmtId="0" fontId="27" fillId="38" borderId="35" applyNumberFormat="0" applyProtection="0">
      <alignment horizontal="left" vertical="top" indent="1"/>
    </xf>
    <xf numFmtId="4" fontId="27" fillId="38" borderId="35" applyNumberFormat="0" applyProtection="0">
      <alignment horizontal="left" vertical="center" indent="1"/>
    </xf>
    <xf numFmtId="4" fontId="46" fillId="38" borderId="35" applyNumberFormat="0" applyProtection="0">
      <alignment vertical="center"/>
    </xf>
    <xf numFmtId="4" fontId="27" fillId="37" borderId="35" applyNumberFormat="0" applyProtection="0">
      <alignment vertical="center"/>
    </xf>
    <xf numFmtId="3" fontId="19" fillId="0" borderId="0" applyFont="0" applyFill="0" applyBorder="0" applyAlignment="0" applyProtection="0"/>
    <xf numFmtId="0" fontId="63" fillId="59" borderId="46"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02" fillId="79" borderId="36" applyNumberFormat="0" applyAlignment="0" applyProtection="0"/>
    <xf numFmtId="0" fontId="102" fillId="79" borderId="36" applyNumberFormat="0" applyAlignment="0" applyProtection="0"/>
    <xf numFmtId="0" fontId="102" fillId="79" borderId="36" applyNumberFormat="0" applyAlignment="0" applyProtection="0"/>
    <xf numFmtId="0" fontId="102" fillId="79" borderId="36"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36" applyNumberFormat="0" applyAlignment="0" applyProtection="0"/>
    <xf numFmtId="0" fontId="110" fillId="77" borderId="36" applyNumberFormat="0" applyAlignment="0" applyProtection="0"/>
    <xf numFmtId="0" fontId="110" fillId="77" borderId="36" applyNumberFormat="0" applyAlignment="0" applyProtection="0"/>
    <xf numFmtId="0" fontId="110" fillId="77" borderId="36"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46" applyNumberFormat="0" applyFont="0" applyAlignment="0" applyProtection="0">
      <protection locked="0"/>
    </xf>
    <xf numFmtId="1" fontId="24" fillId="0" borderId="0" applyFont="0" applyFill="0" applyBorder="0" applyAlignment="0" applyProtection="0">
      <protection locked="0"/>
    </xf>
    <xf numFmtId="0" fontId="19" fillId="61" borderId="13"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3"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3"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19">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3"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4" applyNumberFormat="0" applyFill="0" applyAlignment="0" applyProtection="0"/>
    <xf numFmtId="0" fontId="105" fillId="0" borderId="44"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3" applyNumberFormat="0">
      <protection locked="0"/>
    </xf>
    <xf numFmtId="0" fontId="19" fillId="0" borderId="0" applyFont="0" applyFill="0" applyBorder="0" applyAlignment="0" applyProtection="0"/>
    <xf numFmtId="0" fontId="19" fillId="0" borderId="0"/>
    <xf numFmtId="0" fontId="19" fillId="61" borderId="13" applyNumberFormat="0">
      <protection locked="0"/>
    </xf>
    <xf numFmtId="0" fontId="19" fillId="0" borderId="0" applyFont="0" applyFill="0" applyBorder="0" applyAlignment="0" applyProtection="0"/>
    <xf numFmtId="0" fontId="20" fillId="0" borderId="13">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36" applyNumberFormat="0" applyAlignment="0" applyProtection="0"/>
    <xf numFmtId="0" fontId="102" fillId="79" borderId="36" applyNumberFormat="0" applyAlignment="0" applyProtection="0"/>
    <xf numFmtId="0" fontId="102" fillId="79" borderId="36" applyNumberFormat="0" applyAlignment="0" applyProtection="0"/>
    <xf numFmtId="0" fontId="102" fillId="79" borderId="36"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36" applyNumberFormat="0" applyAlignment="0" applyProtection="0"/>
    <xf numFmtId="0" fontId="110" fillId="77" borderId="36" applyNumberFormat="0" applyAlignment="0" applyProtection="0"/>
    <xf numFmtId="0" fontId="110" fillId="77" borderId="36" applyNumberFormat="0" applyAlignment="0" applyProtection="0"/>
    <xf numFmtId="0" fontId="110" fillId="77" borderId="3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9" fillId="76"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0" fontId="114" fillId="79" borderId="43"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5" applyNumberFormat="0" applyProtection="0">
      <alignment vertical="center"/>
    </xf>
    <xf numFmtId="4" fontId="46" fillId="38" borderId="35" applyNumberFormat="0" applyProtection="0">
      <alignment vertical="center"/>
    </xf>
    <xf numFmtId="4" fontId="27" fillId="38" borderId="35" applyNumberFormat="0" applyProtection="0">
      <alignment horizontal="left" vertical="center" indent="1"/>
    </xf>
    <xf numFmtId="0" fontId="27" fillId="38" borderId="35" applyNumberFormat="0" applyProtection="0">
      <alignment horizontal="left" vertical="top" indent="1"/>
    </xf>
    <xf numFmtId="4" fontId="47" fillId="39" borderId="35" applyNumberFormat="0" applyProtection="0">
      <alignment horizontal="right" vertical="center"/>
    </xf>
    <xf numFmtId="4" fontId="47" fillId="40" borderId="35" applyNumberFormat="0" applyProtection="0">
      <alignment horizontal="right" vertical="center"/>
    </xf>
    <xf numFmtId="4" fontId="47" fillId="41" borderId="35" applyNumberFormat="0" applyProtection="0">
      <alignment horizontal="right" vertical="center"/>
    </xf>
    <xf numFmtId="4" fontId="47" fillId="42" borderId="35" applyNumberFormat="0" applyProtection="0">
      <alignment horizontal="right" vertical="center"/>
    </xf>
    <xf numFmtId="4" fontId="47" fillId="43" borderId="35" applyNumberFormat="0" applyProtection="0">
      <alignment horizontal="right" vertical="center"/>
    </xf>
    <xf numFmtId="4" fontId="47" fillId="44" borderId="35" applyNumberFormat="0" applyProtection="0">
      <alignment horizontal="right" vertical="center"/>
    </xf>
    <xf numFmtId="4" fontId="47" fillId="45" borderId="35" applyNumberFormat="0" applyProtection="0">
      <alignment horizontal="right" vertical="center"/>
    </xf>
    <xf numFmtId="4" fontId="47" fillId="46" borderId="35" applyNumberFormat="0" applyProtection="0">
      <alignment horizontal="right" vertical="center"/>
    </xf>
    <xf numFmtId="4" fontId="47" fillId="47" borderId="35" applyNumberFormat="0" applyProtection="0">
      <alignment horizontal="right" vertical="center"/>
    </xf>
    <xf numFmtId="4" fontId="47" fillId="51" borderId="35" applyNumberFormat="0" applyProtection="0">
      <alignment horizontal="right" vertical="center"/>
    </xf>
    <xf numFmtId="0" fontId="19" fillId="50" borderId="35" applyNumberFormat="0" applyProtection="0">
      <alignment horizontal="left" vertical="center" indent="1"/>
    </xf>
    <xf numFmtId="0" fontId="19" fillId="84" borderId="35" applyNumberFormat="0" applyProtection="0">
      <alignment horizontal="left" vertical="center" indent="1"/>
    </xf>
    <xf numFmtId="0" fontId="19" fillId="84" borderId="35" applyNumberFormat="0" applyProtection="0">
      <alignment horizontal="left" vertical="center" indent="1"/>
    </xf>
    <xf numFmtId="0" fontId="19" fillId="50" borderId="35" applyNumberFormat="0" applyProtection="0">
      <alignment horizontal="left" vertical="top" indent="1"/>
    </xf>
    <xf numFmtId="0" fontId="19" fillId="84" borderId="35" applyNumberFormat="0" applyProtection="0">
      <alignment horizontal="left" vertical="top" indent="1"/>
    </xf>
    <xf numFmtId="0" fontId="19" fillId="84" borderId="35" applyNumberFormat="0" applyProtection="0">
      <alignment horizontal="left" vertical="top" indent="1"/>
    </xf>
    <xf numFmtId="0" fontId="19" fillId="34" borderId="35" applyNumberFormat="0" applyProtection="0">
      <alignment horizontal="left" vertical="center" indent="1"/>
    </xf>
    <xf numFmtId="0" fontId="19" fillId="51" borderId="35" applyNumberFormat="0" applyProtection="0">
      <alignment horizontal="left" vertical="center" indent="1"/>
    </xf>
    <xf numFmtId="0" fontId="19" fillId="51" borderId="35" applyNumberFormat="0" applyProtection="0">
      <alignment horizontal="left" vertical="center" indent="1"/>
    </xf>
    <xf numFmtId="0" fontId="19" fillId="34" borderId="35" applyNumberFormat="0" applyProtection="0">
      <alignment horizontal="left" vertical="top" indent="1"/>
    </xf>
    <xf numFmtId="0" fontId="19" fillId="51" borderId="35" applyNumberFormat="0" applyProtection="0">
      <alignment horizontal="left" vertical="top" indent="1"/>
    </xf>
    <xf numFmtId="0" fontId="19" fillId="51" borderId="35" applyNumberFormat="0" applyProtection="0">
      <alignment horizontal="left" vertical="top" indent="1"/>
    </xf>
    <xf numFmtId="0" fontId="19" fillId="54" borderId="35" applyNumberFormat="0" applyProtection="0">
      <alignment horizontal="left" vertical="center" indent="1"/>
    </xf>
    <xf numFmtId="0" fontId="19" fillId="85" borderId="35" applyNumberFormat="0" applyProtection="0">
      <alignment horizontal="left" vertical="center" indent="1"/>
    </xf>
    <xf numFmtId="0" fontId="19" fillId="85" borderId="35" applyNumberFormat="0" applyProtection="0">
      <alignment horizontal="left" vertical="center" indent="1"/>
    </xf>
    <xf numFmtId="0" fontId="19" fillId="54" borderId="35" applyNumberFormat="0" applyProtection="0">
      <alignment horizontal="left" vertical="top" indent="1"/>
    </xf>
    <xf numFmtId="0" fontId="19" fillId="85" borderId="35" applyNumberFormat="0" applyProtection="0">
      <alignment horizontal="left" vertical="top" indent="1"/>
    </xf>
    <xf numFmtId="0" fontId="19" fillId="85" borderId="35" applyNumberFormat="0" applyProtection="0">
      <alignment horizontal="left" vertical="top" indent="1"/>
    </xf>
    <xf numFmtId="0" fontId="19" fillId="55" borderId="35" applyNumberFormat="0" applyProtection="0">
      <alignment horizontal="left" vertical="center" indent="1"/>
    </xf>
    <xf numFmtId="0" fontId="19" fillId="49" borderId="35" applyNumberFormat="0" applyProtection="0">
      <alignment horizontal="left" vertical="center" indent="1"/>
    </xf>
    <xf numFmtId="0" fontId="19" fillId="49" borderId="35" applyNumberFormat="0" applyProtection="0">
      <alignment horizontal="left" vertical="center" indent="1"/>
    </xf>
    <xf numFmtId="0" fontId="19" fillId="55" borderId="35" applyNumberFormat="0" applyProtection="0">
      <alignment horizontal="left" vertical="top" indent="1"/>
    </xf>
    <xf numFmtId="0" fontId="19" fillId="49" borderId="35" applyNumberFormat="0" applyProtection="0">
      <alignment horizontal="left" vertical="top" indent="1"/>
    </xf>
    <xf numFmtId="0" fontId="19" fillId="49" borderId="35" applyNumberFormat="0" applyProtection="0">
      <alignment horizontal="left" vertical="top" indent="1"/>
    </xf>
    <xf numFmtId="4" fontId="47" fillId="35" borderId="35" applyNumberFormat="0" applyProtection="0">
      <alignment vertical="center"/>
    </xf>
    <xf numFmtId="4" fontId="51" fillId="35" borderId="35" applyNumberFormat="0" applyProtection="0">
      <alignment vertical="center"/>
    </xf>
    <xf numFmtId="4" fontId="47" fillId="35" borderId="35" applyNumberFormat="0" applyProtection="0">
      <alignment horizontal="left" vertical="center" indent="1"/>
    </xf>
    <xf numFmtId="0" fontId="47" fillId="35" borderId="35" applyNumberFormat="0" applyProtection="0">
      <alignment horizontal="left" vertical="top" indent="1"/>
    </xf>
    <xf numFmtId="4" fontId="47" fillId="0" borderId="35" applyNumberFormat="0" applyProtection="0">
      <alignment horizontal="right" vertical="center"/>
    </xf>
    <xf numFmtId="4" fontId="51" fillId="49" borderId="35" applyNumberFormat="0" applyProtection="0">
      <alignment horizontal="right" vertical="center"/>
    </xf>
    <xf numFmtId="4" fontId="47" fillId="0" borderId="35" applyNumberFormat="0" applyProtection="0">
      <alignment horizontal="left" vertical="center" indent="1"/>
    </xf>
    <xf numFmtId="0" fontId="47" fillId="34" borderId="35" applyNumberFormat="0" applyProtection="0">
      <alignment horizontal="left" vertical="top"/>
    </xf>
    <xf numFmtId="4" fontId="25" fillId="49" borderId="35" applyNumberFormat="0" applyProtection="0">
      <alignment horizontal="right" vertical="center"/>
    </xf>
    <xf numFmtId="0" fontId="20" fillId="0" borderId="13">
      <alignment horizontal="center" vertical="center" wrapText="1"/>
    </xf>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49">
      <alignment horizontal="left" vertical="center"/>
    </xf>
    <xf numFmtId="4" fontId="27" fillId="34" borderId="53" applyNumberFormat="0" applyProtection="0">
      <alignment vertical="center"/>
    </xf>
    <xf numFmtId="4" fontId="47" fillId="0" borderId="59" applyNumberFormat="0" applyProtection="0">
      <alignment horizontal="right" vertical="center"/>
    </xf>
    <xf numFmtId="0" fontId="19" fillId="51" borderId="59" applyNumberFormat="0" applyProtection="0">
      <alignment horizontal="left" vertical="center" indent="1"/>
    </xf>
    <xf numFmtId="4" fontId="27" fillId="37" borderId="59" applyNumberFormat="0" applyProtection="0">
      <alignment vertical="center"/>
    </xf>
    <xf numFmtId="0" fontId="110" fillId="77" borderId="58" applyNumberFormat="0" applyAlignment="0" applyProtection="0"/>
    <xf numFmtId="0" fontId="24" fillId="59" borderId="57" applyNumberFormat="0" applyFont="0" applyAlignment="0" applyProtection="0">
      <protection locked="0"/>
    </xf>
    <xf numFmtId="0" fontId="102" fillId="79" borderId="58" applyNumberFormat="0" applyAlignment="0" applyProtection="0"/>
    <xf numFmtId="4" fontId="47" fillId="42" borderId="59" applyNumberFormat="0" applyProtection="0">
      <alignment horizontal="right" vertical="center"/>
    </xf>
    <xf numFmtId="0" fontId="19" fillId="51" borderId="59" applyNumberFormat="0" applyProtection="0">
      <alignment horizontal="left" vertical="top" indent="1"/>
    </xf>
    <xf numFmtId="4" fontId="25" fillId="49" borderId="59" applyNumberFormat="0" applyProtection="0">
      <alignment horizontal="right" vertical="center"/>
    </xf>
    <xf numFmtId="0" fontId="114" fillId="79" borderId="55"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59" applyNumberFormat="0" applyProtection="0">
      <alignment horizontal="left" vertical="top" indent="1"/>
    </xf>
    <xf numFmtId="0" fontId="19" fillId="34" borderId="59" applyNumberFormat="0" applyProtection="0">
      <alignment horizontal="left" vertical="center" indent="1"/>
    </xf>
    <xf numFmtId="0" fontId="102" fillId="79" borderId="58" applyNumberFormat="0" applyAlignment="0" applyProtection="0"/>
    <xf numFmtId="4" fontId="47" fillId="43" borderId="59" applyNumberFormat="0" applyProtection="0">
      <alignment horizontal="right" vertical="center"/>
    </xf>
    <xf numFmtId="0" fontId="19" fillId="54" borderId="59" applyNumberFormat="0" applyProtection="0">
      <alignment horizontal="left" vertical="center" indent="1"/>
    </xf>
    <xf numFmtId="0" fontId="114" fillId="79" borderId="55" applyNumberFormat="0" applyAlignment="0" applyProtection="0"/>
    <xf numFmtId="4" fontId="25" fillId="49" borderId="59" applyNumberFormat="0" applyProtection="0">
      <alignment horizontal="right" vertical="center"/>
    </xf>
    <xf numFmtId="0" fontId="19" fillId="51" borderId="59" applyNumberFormat="0" applyProtection="0">
      <alignment horizontal="left" vertical="top" indent="1"/>
    </xf>
    <xf numFmtId="4" fontId="47" fillId="39" borderId="59" applyNumberFormat="0" applyProtection="0">
      <alignment horizontal="right" vertical="center"/>
    </xf>
    <xf numFmtId="0" fontId="19" fillId="76" borderId="54" applyNumberFormat="0" applyFont="0" applyAlignment="0" applyProtection="0"/>
    <xf numFmtId="0" fontId="105" fillId="0" borderId="56" applyNumberFormat="0" applyFill="0" applyAlignment="0" applyProtection="0"/>
    <xf numFmtId="0" fontId="27" fillId="38" borderId="59" applyNumberFormat="0" applyProtection="0">
      <alignment horizontal="left" vertical="top" indent="1"/>
    </xf>
    <xf numFmtId="0" fontId="19" fillId="51" borderId="59" applyNumberFormat="0" applyProtection="0">
      <alignment horizontal="left" vertical="center" indent="1"/>
    </xf>
    <xf numFmtId="4" fontId="47" fillId="0" borderId="59" applyNumberFormat="0" applyProtection="0">
      <alignment horizontal="right" vertical="center"/>
    </xf>
    <xf numFmtId="0" fontId="105" fillId="0" borderId="56" applyNumberFormat="0" applyFill="0" applyAlignment="0" applyProtection="0"/>
    <xf numFmtId="0" fontId="19" fillId="76" borderId="54" applyNumberFormat="0" applyFont="0" applyAlignment="0" applyProtection="0"/>
    <xf numFmtId="0" fontId="21" fillId="35" borderId="51" applyNumberFormat="0" applyFont="0" applyAlignment="0" applyProtection="0">
      <alignment horizontal="center"/>
      <protection locked="0"/>
    </xf>
    <xf numFmtId="0" fontId="19" fillId="49" borderId="59" applyNumberFormat="0" applyProtection="0">
      <alignment horizontal="left" vertical="center" indent="1"/>
    </xf>
    <xf numFmtId="4" fontId="47" fillId="51" borderId="59" applyNumberFormat="0" applyProtection="0">
      <alignment horizontal="right" vertical="center"/>
    </xf>
    <xf numFmtId="0" fontId="114" fillId="79" borderId="55" applyNumberFormat="0" applyAlignment="0" applyProtection="0"/>
    <xf numFmtId="0" fontId="114" fillId="79" borderId="55" applyNumberFormat="0" applyAlignment="0" applyProtection="0"/>
    <xf numFmtId="0" fontId="19" fillId="49" borderId="59" applyNumberFormat="0" applyProtection="0">
      <alignment horizontal="left" vertical="center" indent="1"/>
    </xf>
    <xf numFmtId="0" fontId="105" fillId="0" borderId="56" applyNumberFormat="0" applyFill="0" applyAlignment="0" applyProtection="0"/>
    <xf numFmtId="0" fontId="19" fillId="85" borderId="59" applyNumberFormat="0" applyProtection="0">
      <alignment horizontal="left" vertical="center" indent="1"/>
    </xf>
    <xf numFmtId="4" fontId="47" fillId="41" borderId="59" applyNumberFormat="0" applyProtection="0">
      <alignment horizontal="right" vertical="center"/>
    </xf>
    <xf numFmtId="0" fontId="19" fillId="76" borderId="54" applyNumberFormat="0" applyFont="0" applyAlignment="0" applyProtection="0"/>
    <xf numFmtId="4" fontId="46" fillId="38" borderId="59" applyNumberFormat="0" applyProtection="0">
      <alignment vertical="center"/>
    </xf>
    <xf numFmtId="0" fontId="19" fillId="84" borderId="59" applyNumberFormat="0" applyProtection="0">
      <alignment horizontal="left" vertical="top" indent="1"/>
    </xf>
    <xf numFmtId="4" fontId="47" fillId="35" borderId="59" applyNumberFormat="0" applyProtection="0">
      <alignment horizontal="left" vertical="center" indent="1"/>
    </xf>
    <xf numFmtId="0" fontId="105" fillId="0" borderId="56" applyNumberFormat="0" applyFill="0" applyAlignment="0" applyProtection="0"/>
    <xf numFmtId="0" fontId="19" fillId="76" borderId="54" applyNumberFormat="0" applyFont="0" applyAlignment="0" applyProtection="0"/>
    <xf numFmtId="0" fontId="19" fillId="49" borderId="59" applyNumberFormat="0" applyProtection="0">
      <alignment horizontal="left" vertical="top" indent="1"/>
    </xf>
    <xf numFmtId="0" fontId="19" fillId="84" borderId="59" applyNumberFormat="0" applyProtection="0">
      <alignment horizontal="left" vertical="center" indent="1"/>
    </xf>
    <xf numFmtId="0" fontId="114" fillId="79" borderId="55" applyNumberFormat="0" applyAlignment="0" applyProtection="0"/>
    <xf numFmtId="0" fontId="102" fillId="79" borderId="58" applyNumberFormat="0" applyAlignment="0" applyProtection="0"/>
    <xf numFmtId="0" fontId="114" fillId="79" borderId="55" applyNumberFormat="0" applyAlignment="0" applyProtection="0"/>
    <xf numFmtId="4" fontId="47" fillId="51" borderId="59" applyNumberFormat="0" applyProtection="0">
      <alignment horizontal="right" vertical="center"/>
    </xf>
    <xf numFmtId="0" fontId="19" fillId="85" borderId="59" applyNumberFormat="0" applyProtection="0">
      <alignment horizontal="left" vertical="top" indent="1"/>
    </xf>
    <xf numFmtId="0" fontId="105" fillId="0" borderId="56" applyNumberFormat="0" applyFill="0" applyAlignment="0" applyProtection="0"/>
    <xf numFmtId="0" fontId="24" fillId="59" borderId="57" applyNumberFormat="0" applyFont="0" applyAlignment="0" applyProtection="0">
      <protection locked="0"/>
    </xf>
    <xf numFmtId="4" fontId="47" fillId="43" borderId="59" applyNumberFormat="0" applyProtection="0">
      <alignment horizontal="right" vertical="center"/>
    </xf>
    <xf numFmtId="0" fontId="19" fillId="54" borderId="59" applyNumberFormat="0" applyProtection="0">
      <alignment horizontal="left" vertical="top" indent="1"/>
    </xf>
    <xf numFmtId="0" fontId="19" fillId="76" borderId="54" applyNumberFormat="0" applyFont="0" applyAlignment="0" applyProtection="0"/>
    <xf numFmtId="0" fontId="105" fillId="0" borderId="56" applyNumberFormat="0" applyFill="0" applyAlignment="0" applyProtection="0"/>
    <xf numFmtId="0" fontId="19" fillId="50" borderId="59" applyNumberFormat="0" applyProtection="0">
      <alignment horizontal="left" vertical="top" indent="1"/>
    </xf>
    <xf numFmtId="4" fontId="47" fillId="35" borderId="59" applyNumberFormat="0" applyProtection="0">
      <alignment vertical="center"/>
    </xf>
    <xf numFmtId="0" fontId="105" fillId="0" borderId="56" applyNumberFormat="0" applyFill="0" applyAlignment="0" applyProtection="0"/>
    <xf numFmtId="0" fontId="19" fillId="76" borderId="54" applyNumberFormat="0" applyFont="0" applyAlignment="0" applyProtection="0"/>
    <xf numFmtId="4" fontId="47" fillId="35" borderId="59" applyNumberFormat="0" applyProtection="0">
      <alignment vertical="center"/>
    </xf>
    <xf numFmtId="0" fontId="19" fillId="50" borderId="59" applyNumberFormat="0" applyProtection="0">
      <alignment horizontal="left" vertical="top" indent="1"/>
    </xf>
    <xf numFmtId="0" fontId="114" fillId="79" borderId="55" applyNumberFormat="0" applyAlignment="0" applyProtection="0"/>
    <xf numFmtId="0" fontId="102" fillId="79" borderId="58" applyNumberFormat="0" applyAlignment="0" applyProtection="0"/>
    <xf numFmtId="0" fontId="114" fillId="79" borderId="55" applyNumberFormat="0" applyAlignment="0" applyProtection="0"/>
    <xf numFmtId="4" fontId="47" fillId="46" borderId="59" applyNumberFormat="0" applyProtection="0">
      <alignment horizontal="right" vertical="center"/>
    </xf>
    <xf numFmtId="0" fontId="19" fillId="54" borderId="59" applyNumberFormat="0" applyProtection="0">
      <alignment horizontal="left" vertical="top" indent="1"/>
    </xf>
    <xf numFmtId="0" fontId="105" fillId="0" borderId="56" applyNumberFormat="0" applyFill="0" applyAlignment="0" applyProtection="0"/>
    <xf numFmtId="0" fontId="63" fillId="59" borderId="57" applyNumberFormat="0" applyFont="0" applyFill="0" applyAlignment="0" applyProtection="0">
      <protection locked="0"/>
    </xf>
    <xf numFmtId="0" fontId="105" fillId="0" borderId="56" applyNumberFormat="0" applyFill="0" applyAlignment="0" applyProtection="0"/>
    <xf numFmtId="0" fontId="19" fillId="85" borderId="59" applyNumberFormat="0" applyProtection="0">
      <alignment horizontal="left" vertical="top" indent="1"/>
    </xf>
    <xf numFmtId="4" fontId="47" fillId="45" borderId="59" applyNumberFormat="0" applyProtection="0">
      <alignment horizontal="right" vertical="center"/>
    </xf>
    <xf numFmtId="0" fontId="110" fillId="77" borderId="58" applyNumberFormat="0" applyAlignment="0" applyProtection="0"/>
    <xf numFmtId="0" fontId="19" fillId="84" borderId="59" applyNumberFormat="0" applyProtection="0">
      <alignment horizontal="left" vertical="center" indent="1"/>
    </xf>
    <xf numFmtId="0" fontId="19" fillId="49" borderId="59" applyNumberFormat="0" applyProtection="0">
      <alignment horizontal="left" vertical="top" indent="1"/>
    </xf>
    <xf numFmtId="4" fontId="47" fillId="35" borderId="59" applyNumberFormat="0" applyProtection="0">
      <alignment horizontal="left" vertical="center" indent="1"/>
    </xf>
    <xf numFmtId="0" fontId="19" fillId="84" borderId="59" applyNumberFormat="0" applyProtection="0">
      <alignment horizontal="left" vertical="top" indent="1"/>
    </xf>
    <xf numFmtId="0" fontId="102" fillId="79" borderId="58" applyNumberFormat="0" applyAlignment="0" applyProtection="0"/>
    <xf numFmtId="4" fontId="47" fillId="44" borderId="59" applyNumberFormat="0" applyProtection="0">
      <alignment horizontal="right" vertical="center"/>
    </xf>
    <xf numFmtId="0" fontId="19" fillId="85" borderId="59" applyNumberFormat="0" applyProtection="0">
      <alignment horizontal="left" vertical="center" indent="1"/>
    </xf>
    <xf numFmtId="0" fontId="114" fillId="79" borderId="55" applyNumberFormat="0" applyAlignment="0" applyProtection="0"/>
    <xf numFmtId="4" fontId="51" fillId="49" borderId="59" applyNumberFormat="0" applyProtection="0">
      <alignment horizontal="right" vertical="center"/>
    </xf>
    <xf numFmtId="0" fontId="19" fillId="51" borderId="59" applyNumberFormat="0" applyProtection="0">
      <alignment horizontal="left" vertical="center" indent="1"/>
    </xf>
    <xf numFmtId="4" fontId="46" fillId="38" borderId="59" applyNumberFormat="0" applyProtection="0">
      <alignment vertical="center"/>
    </xf>
    <xf numFmtId="0" fontId="110" fillId="77" borderId="58" applyNumberFormat="0" applyAlignment="0" applyProtection="0"/>
    <xf numFmtId="0" fontId="102" fillId="79" borderId="58" applyNumberFormat="0" applyAlignment="0" applyProtection="0"/>
    <xf numFmtId="4" fontId="47" fillId="41" borderId="59" applyNumberFormat="0" applyProtection="0">
      <alignment horizontal="right" vertical="center"/>
    </xf>
    <xf numFmtId="0" fontId="19" fillId="51" borderId="59" applyNumberFormat="0" applyProtection="0">
      <alignment horizontal="left" vertical="top" indent="1"/>
    </xf>
    <xf numFmtId="0" fontId="47" fillId="34" borderId="59" applyNumberFormat="0" applyProtection="0">
      <alignment horizontal="left" vertical="top"/>
    </xf>
    <xf numFmtId="0" fontId="114" fillId="79" borderId="55" applyNumberFormat="0" applyAlignment="0" applyProtection="0"/>
    <xf numFmtId="0" fontId="26" fillId="0" borderId="49">
      <alignment horizontal="left" vertical="center"/>
    </xf>
    <xf numFmtId="4" fontId="27" fillId="34" borderId="53" applyNumberFormat="0" applyProtection="0">
      <alignment vertical="center"/>
    </xf>
    <xf numFmtId="0" fontId="26" fillId="0" borderId="49">
      <alignment horizontal="left" vertical="center"/>
    </xf>
    <xf numFmtId="4" fontId="27" fillId="34" borderId="53" applyNumberFormat="0" applyProtection="0">
      <alignment vertical="center"/>
    </xf>
    <xf numFmtId="4" fontId="27" fillId="34" borderId="53" applyNumberFormat="0" applyProtection="0">
      <alignment vertical="center"/>
    </xf>
    <xf numFmtId="4" fontId="47" fillId="0" borderId="59" applyNumberFormat="0" applyProtection="0">
      <alignment horizontal="left" vertical="center" indent="1"/>
    </xf>
    <xf numFmtId="0" fontId="19" fillId="34" borderId="59" applyNumberFormat="0" applyProtection="0">
      <alignment horizontal="left" vertical="top" indent="1"/>
    </xf>
    <xf numFmtId="4" fontId="27" fillId="38" borderId="59" applyNumberFormat="0" applyProtection="0">
      <alignment horizontal="left" vertical="center" indent="1"/>
    </xf>
    <xf numFmtId="0" fontId="110" fillId="77" borderId="58" applyNumberFormat="0" applyAlignment="0" applyProtection="0"/>
    <xf numFmtId="4" fontId="47" fillId="40" borderId="59" applyNumberFormat="0" applyProtection="0">
      <alignment horizontal="right" vertical="center"/>
    </xf>
    <xf numFmtId="0" fontId="19" fillId="34" borderId="59" applyNumberFormat="0" applyProtection="0">
      <alignment horizontal="left" vertical="top" indent="1"/>
    </xf>
    <xf numFmtId="4" fontId="47" fillId="0" borderId="59" applyNumberFormat="0" applyProtection="0">
      <alignment horizontal="left" vertical="center" indent="1"/>
    </xf>
    <xf numFmtId="0" fontId="114" fillId="79" borderId="55" applyNumberFormat="0" applyAlignment="0" applyProtection="0"/>
    <xf numFmtId="0" fontId="105" fillId="0" borderId="56" applyNumberFormat="0" applyFill="0" applyAlignment="0" applyProtection="0"/>
    <xf numFmtId="0" fontId="19" fillId="55" borderId="59" applyNumberFormat="0" applyProtection="0">
      <alignment horizontal="left" vertical="center" indent="1"/>
    </xf>
    <xf numFmtId="4" fontId="47" fillId="46" borderId="59" applyNumberFormat="0" applyProtection="0">
      <alignment horizontal="right" vertical="center"/>
    </xf>
    <xf numFmtId="0" fontId="110" fillId="77" borderId="58" applyNumberFormat="0" applyAlignment="0" applyProtection="0"/>
    <xf numFmtId="0" fontId="19" fillId="50" borderId="59" applyNumberFormat="0" applyProtection="0">
      <alignment horizontal="left" vertical="center" indent="1"/>
    </xf>
    <xf numFmtId="0" fontId="19" fillId="55" borderId="59" applyNumberFormat="0" applyProtection="0">
      <alignment horizontal="left" vertical="top" indent="1"/>
    </xf>
    <xf numFmtId="0" fontId="47" fillId="34" borderId="59" applyNumberFormat="0" applyProtection="0">
      <alignment horizontal="left" vertical="top"/>
    </xf>
    <xf numFmtId="0" fontId="19" fillId="51" borderId="59" applyNumberFormat="0" applyProtection="0">
      <alignment horizontal="left" vertical="top" indent="1"/>
    </xf>
    <xf numFmtId="0" fontId="27" fillId="38" borderId="59" applyNumberFormat="0" applyProtection="0">
      <alignment horizontal="left" vertical="top" indent="1"/>
    </xf>
    <xf numFmtId="0" fontId="19" fillId="76" borderId="54" applyNumberFormat="0" applyFont="0" applyAlignment="0" applyProtection="0"/>
    <xf numFmtId="0" fontId="110" fillId="77" borderId="58" applyNumberFormat="0" applyAlignment="0" applyProtection="0"/>
    <xf numFmtId="0" fontId="105" fillId="0" borderId="56" applyNumberFormat="0" applyFill="0" applyAlignment="0" applyProtection="0"/>
    <xf numFmtId="4" fontId="47" fillId="39" borderId="59" applyNumberFormat="0" applyProtection="0">
      <alignment horizontal="right" vertical="center"/>
    </xf>
    <xf numFmtId="0" fontId="19" fillId="51" borderId="59" applyNumberFormat="0" applyProtection="0">
      <alignment horizontal="left" vertical="center" indent="1"/>
    </xf>
    <xf numFmtId="4" fontId="51" fillId="49" borderId="59" applyNumberFormat="0" applyProtection="0">
      <alignment horizontal="right" vertical="center"/>
    </xf>
    <xf numFmtId="0" fontId="19" fillId="49" borderId="59" applyNumberFormat="0" applyProtection="0">
      <alignment horizontal="left" vertical="center" indent="1"/>
    </xf>
    <xf numFmtId="4" fontId="47" fillId="47" borderId="59" applyNumberFormat="0" applyProtection="0">
      <alignment horizontal="right" vertical="center"/>
    </xf>
    <xf numFmtId="0" fontId="110" fillId="77" borderId="58" applyNumberFormat="0" applyAlignment="0" applyProtection="0"/>
    <xf numFmtId="0" fontId="19" fillId="49" borderId="59" applyNumberFormat="0" applyProtection="0">
      <alignment horizontal="left" vertical="center" indent="1"/>
    </xf>
    <xf numFmtId="0" fontId="19" fillId="54" borderId="59" applyNumberFormat="0" applyProtection="0">
      <alignment horizontal="left" vertical="center" indent="1"/>
    </xf>
    <xf numFmtId="4" fontId="47" fillId="40" borderId="59" applyNumberFormat="0" applyProtection="0">
      <alignment horizontal="right" vertical="center"/>
    </xf>
    <xf numFmtId="0" fontId="19" fillId="76" borderId="54" applyNumberFormat="0" applyFont="0" applyAlignment="0" applyProtection="0"/>
    <xf numFmtId="4" fontId="27" fillId="38" borderId="59" applyNumberFormat="0" applyProtection="0">
      <alignment horizontal="left" vertical="center" indent="1"/>
    </xf>
    <xf numFmtId="0" fontId="19" fillId="34" borderId="59" applyNumberFormat="0" applyProtection="0">
      <alignment horizontal="left" vertical="center" indent="1"/>
    </xf>
    <xf numFmtId="0" fontId="47" fillId="35" borderId="59" applyNumberFormat="0" applyProtection="0">
      <alignment horizontal="left" vertical="top" indent="1"/>
    </xf>
    <xf numFmtId="0" fontId="105" fillId="0" borderId="56" applyNumberFormat="0" applyFill="0" applyAlignment="0" applyProtection="0"/>
    <xf numFmtId="0" fontId="19" fillId="76" borderId="54" applyNumberFormat="0" applyFont="0" applyAlignment="0" applyProtection="0"/>
    <xf numFmtId="0" fontId="19" fillId="55" borderId="59" applyNumberFormat="0" applyProtection="0">
      <alignment horizontal="left" vertical="top" indent="1"/>
    </xf>
    <xf numFmtId="0" fontId="19" fillId="50" borderId="59" applyNumberFormat="0" applyProtection="0">
      <alignment horizontal="left" vertical="center" indent="1"/>
    </xf>
    <xf numFmtId="0" fontId="114" fillId="79" borderId="55" applyNumberFormat="0" applyAlignment="0" applyProtection="0"/>
    <xf numFmtId="0" fontId="114" fillId="79" borderId="55" applyNumberFormat="0" applyAlignment="0" applyProtection="0"/>
    <xf numFmtId="0" fontId="19" fillId="55" borderId="59" applyNumberFormat="0" applyProtection="0">
      <alignment horizontal="left" vertical="center" indent="1"/>
    </xf>
    <xf numFmtId="4" fontId="47" fillId="42" borderId="59" applyNumberFormat="0" applyProtection="0">
      <alignment horizontal="right" vertical="center"/>
    </xf>
    <xf numFmtId="0" fontId="19" fillId="85" borderId="59" applyNumberFormat="0" applyProtection="0">
      <alignment horizontal="left" vertical="center" indent="1"/>
    </xf>
    <xf numFmtId="0" fontId="19" fillId="76" borderId="54" applyNumberFormat="0" applyFont="0" applyAlignment="0" applyProtection="0"/>
    <xf numFmtId="0" fontId="105" fillId="0" borderId="56" applyNumberFormat="0" applyFill="0" applyAlignment="0" applyProtection="0"/>
    <xf numFmtId="4" fontId="27" fillId="37" borderId="59" applyNumberFormat="0" applyProtection="0">
      <alignment vertical="center"/>
    </xf>
    <xf numFmtId="0" fontId="19" fillId="84" borderId="59" applyNumberFormat="0" applyProtection="0">
      <alignment horizontal="left" vertical="top" indent="1"/>
    </xf>
    <xf numFmtId="4" fontId="51" fillId="35" borderId="59" applyNumberFormat="0" applyProtection="0">
      <alignment vertical="center"/>
    </xf>
    <xf numFmtId="0" fontId="105" fillId="0" borderId="56" applyNumberFormat="0" applyFill="0" applyAlignment="0" applyProtection="0"/>
    <xf numFmtId="0" fontId="19" fillId="76" borderId="54" applyNumberFormat="0" applyFont="0" applyAlignment="0" applyProtection="0"/>
    <xf numFmtId="0" fontId="19" fillId="49" borderId="59" applyNumberFormat="0" applyProtection="0">
      <alignment horizontal="left" vertical="top" indent="1"/>
    </xf>
    <xf numFmtId="0" fontId="19" fillId="84" borderId="59" applyNumberFormat="0" applyProtection="0">
      <alignment horizontal="left" vertical="center" indent="1"/>
    </xf>
    <xf numFmtId="0" fontId="114" fillId="79" borderId="55" applyNumberFormat="0" applyAlignment="0" applyProtection="0"/>
    <xf numFmtId="0" fontId="102" fillId="79" borderId="58" applyNumberFormat="0" applyAlignment="0" applyProtection="0"/>
    <xf numFmtId="0" fontId="114" fillId="79" borderId="55" applyNumberFormat="0" applyAlignment="0" applyProtection="0"/>
    <xf numFmtId="4" fontId="47" fillId="47" borderId="59" applyNumberFormat="0" applyProtection="0">
      <alignment horizontal="right" vertical="center"/>
    </xf>
    <xf numFmtId="0" fontId="19" fillId="85" borderId="59" applyNumberFormat="0" applyProtection="0">
      <alignment horizontal="left" vertical="top" indent="1"/>
    </xf>
    <xf numFmtId="0" fontId="105" fillId="0" borderId="56" applyNumberFormat="0" applyFill="0" applyAlignment="0" applyProtection="0"/>
    <xf numFmtId="0" fontId="105" fillId="0" borderId="56" applyNumberFormat="0" applyFill="0" applyAlignment="0" applyProtection="0"/>
    <xf numFmtId="0" fontId="19" fillId="85" borderId="59" applyNumberFormat="0" applyProtection="0">
      <alignment horizontal="left" vertical="top" indent="1"/>
    </xf>
    <xf numFmtId="4" fontId="47" fillId="44" borderId="59" applyNumberFormat="0" applyProtection="0">
      <alignment horizontal="right" vertical="center"/>
    </xf>
    <xf numFmtId="0" fontId="110" fillId="77" borderId="58" applyNumberFormat="0" applyAlignment="0" applyProtection="0"/>
    <xf numFmtId="0" fontId="63" fillId="59" borderId="57" applyNumberFormat="0" applyFont="0" applyFill="0" applyAlignment="0" applyProtection="0">
      <protection locked="0"/>
    </xf>
    <xf numFmtId="0" fontId="19" fillId="84" borderId="59" applyNumberFormat="0" applyProtection="0">
      <alignment horizontal="left" vertical="center" indent="1"/>
    </xf>
    <xf numFmtId="0" fontId="19" fillId="49" borderId="59" applyNumberFormat="0" applyProtection="0">
      <alignment horizontal="left" vertical="top" indent="1"/>
    </xf>
    <xf numFmtId="0" fontId="105" fillId="0" borderId="56" applyNumberFormat="0" applyFill="0" applyAlignment="0" applyProtection="0"/>
    <xf numFmtId="0" fontId="19" fillId="76" borderId="54" applyNumberFormat="0" applyFont="0" applyAlignment="0" applyProtection="0"/>
    <xf numFmtId="4" fontId="51" fillId="35" borderId="59" applyNumberFormat="0" applyProtection="0">
      <alignment vertical="center"/>
    </xf>
    <xf numFmtId="0" fontId="19" fillId="84" borderId="59" applyNumberFormat="0" applyProtection="0">
      <alignment horizontal="left" vertical="top" indent="1"/>
    </xf>
    <xf numFmtId="0" fontId="114" fillId="79" borderId="55" applyNumberFormat="0" applyAlignment="0" applyProtection="0"/>
    <xf numFmtId="0" fontId="102" fillId="79" borderId="58" applyNumberFormat="0" applyAlignment="0" applyProtection="0"/>
    <xf numFmtId="0" fontId="114" fillId="79" borderId="55" applyNumberFormat="0" applyAlignment="0" applyProtection="0"/>
    <xf numFmtId="4" fontId="47" fillId="45" borderId="59" applyNumberFormat="0" applyProtection="0">
      <alignment horizontal="right" vertical="center"/>
    </xf>
    <xf numFmtId="0" fontId="19" fillId="85" borderId="59" applyNumberFormat="0" applyProtection="0">
      <alignment horizontal="left" vertical="center" indent="1"/>
    </xf>
    <xf numFmtId="0" fontId="105" fillId="0" borderId="56" applyNumberFormat="0" applyFill="0" applyAlignment="0" applyProtection="0"/>
    <xf numFmtId="0" fontId="114" fillId="79" borderId="55" applyNumberFormat="0" applyAlignment="0" applyProtection="0"/>
    <xf numFmtId="0" fontId="21" fillId="35" borderId="51"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2" applyNumberFormat="0" applyProtection="0">
      <alignment vertical="center"/>
    </xf>
    <xf numFmtId="4" fontId="46" fillId="38" borderId="22" applyNumberFormat="0" applyProtection="0">
      <alignment vertical="center"/>
    </xf>
    <xf numFmtId="4" fontId="27" fillId="38" borderId="22" applyNumberFormat="0" applyProtection="0">
      <alignment horizontal="left" vertical="center" indent="1"/>
    </xf>
    <xf numFmtId="4" fontId="27" fillId="38" borderId="22" applyNumberFormat="0" applyProtection="0">
      <alignment horizontal="left" vertical="center" indent="1"/>
    </xf>
    <xf numFmtId="0" fontId="27" fillId="38" borderId="22" applyNumberFormat="0" applyProtection="0">
      <alignment horizontal="left" vertical="top" indent="1"/>
    </xf>
    <xf numFmtId="4" fontId="27" fillId="34" borderId="22" applyNumberFormat="0" applyProtection="0"/>
    <xf numFmtId="4" fontId="47" fillId="39" borderId="22" applyNumberFormat="0" applyProtection="0">
      <alignment horizontal="right" vertical="center"/>
    </xf>
    <xf numFmtId="4" fontId="47" fillId="40" borderId="22" applyNumberFormat="0" applyProtection="0">
      <alignment horizontal="right" vertical="center"/>
    </xf>
    <xf numFmtId="4" fontId="47" fillId="41" borderId="22" applyNumberFormat="0" applyProtection="0">
      <alignment horizontal="right" vertical="center"/>
    </xf>
    <xf numFmtId="4" fontId="47" fillId="42" borderId="22" applyNumberFormat="0" applyProtection="0">
      <alignment horizontal="right" vertical="center"/>
    </xf>
    <xf numFmtId="4" fontId="47" fillId="43" borderId="22" applyNumberFormat="0" applyProtection="0">
      <alignment horizontal="right" vertical="center"/>
    </xf>
    <xf numFmtId="4" fontId="47" fillId="44" borderId="22" applyNumberFormat="0" applyProtection="0">
      <alignment horizontal="right" vertical="center"/>
    </xf>
    <xf numFmtId="4" fontId="47" fillId="45" borderId="22" applyNumberFormat="0" applyProtection="0">
      <alignment horizontal="right" vertical="center"/>
    </xf>
    <xf numFmtId="4" fontId="47" fillId="46" borderId="22" applyNumberFormat="0" applyProtection="0">
      <alignment horizontal="right" vertical="center"/>
    </xf>
    <xf numFmtId="4" fontId="47" fillId="47" borderId="22" applyNumberFormat="0" applyProtection="0">
      <alignment horizontal="right" vertical="center"/>
    </xf>
    <xf numFmtId="4" fontId="47" fillId="51" borderId="22" applyNumberFormat="0" applyProtection="0">
      <alignment horizontal="right" vertical="center"/>
    </xf>
    <xf numFmtId="0" fontId="19" fillId="50" borderId="22" applyNumberFormat="0" applyProtection="0">
      <alignment horizontal="left" vertical="center" indent="1"/>
    </xf>
    <xf numFmtId="0" fontId="19" fillId="50" borderId="22" applyNumberFormat="0" applyProtection="0">
      <alignment horizontal="left" vertical="center" indent="1"/>
    </xf>
    <xf numFmtId="0" fontId="19" fillId="50" borderId="22" applyNumberFormat="0" applyProtection="0">
      <alignment horizontal="left" vertical="center" indent="1"/>
    </xf>
    <xf numFmtId="0" fontId="19" fillId="50" borderId="22" applyNumberFormat="0" applyProtection="0">
      <alignment horizontal="left" vertical="center" indent="1"/>
    </xf>
    <xf numFmtId="0" fontId="19" fillId="50" borderId="22" applyNumberFormat="0" applyProtection="0">
      <alignment horizontal="left" vertical="top" indent="1"/>
    </xf>
    <xf numFmtId="0" fontId="19" fillId="50" borderId="22" applyNumberFormat="0" applyProtection="0">
      <alignment horizontal="left" vertical="top" indent="1"/>
    </xf>
    <xf numFmtId="0" fontId="19" fillId="50" borderId="22" applyNumberFormat="0" applyProtection="0">
      <alignment horizontal="left" vertical="top" indent="1"/>
    </xf>
    <xf numFmtId="0" fontId="19" fillId="50" borderId="22" applyNumberFormat="0" applyProtection="0">
      <alignment horizontal="left" vertical="top" indent="1"/>
    </xf>
    <xf numFmtId="0" fontId="19" fillId="34" borderId="22" applyNumberFormat="0" applyProtection="0">
      <alignment horizontal="left" vertical="center" indent="1"/>
    </xf>
    <xf numFmtId="0" fontId="19" fillId="34" borderId="22" applyNumberFormat="0" applyProtection="0">
      <alignment horizontal="left" vertical="center" indent="1"/>
    </xf>
    <xf numFmtId="0" fontId="19" fillId="34" borderId="22" applyNumberFormat="0" applyProtection="0">
      <alignment horizontal="left" vertical="center" indent="1"/>
    </xf>
    <xf numFmtId="0" fontId="19" fillId="34" borderId="22" applyNumberFormat="0" applyProtection="0">
      <alignment horizontal="left" vertical="center" indent="1"/>
    </xf>
    <xf numFmtId="0" fontId="19" fillId="34" borderId="22" applyNumberFormat="0" applyProtection="0">
      <alignment horizontal="left" vertical="top" indent="1"/>
    </xf>
    <xf numFmtId="0" fontId="19" fillId="34" borderId="22" applyNumberFormat="0" applyProtection="0">
      <alignment horizontal="left" vertical="top" indent="1"/>
    </xf>
    <xf numFmtId="0" fontId="19" fillId="34" borderId="22" applyNumberFormat="0" applyProtection="0">
      <alignment horizontal="left" vertical="top" indent="1"/>
    </xf>
    <xf numFmtId="0" fontId="19" fillId="34" borderId="22" applyNumberFormat="0" applyProtection="0">
      <alignment horizontal="left" vertical="top" indent="1"/>
    </xf>
    <xf numFmtId="0" fontId="19" fillId="54" borderId="22" applyNumberFormat="0" applyProtection="0">
      <alignment horizontal="left" vertical="center" indent="1"/>
    </xf>
    <xf numFmtId="0" fontId="19" fillId="54" borderId="22" applyNumberFormat="0" applyProtection="0">
      <alignment horizontal="left" vertical="center" indent="1"/>
    </xf>
    <xf numFmtId="0" fontId="19" fillId="54" borderId="22" applyNumberFormat="0" applyProtection="0">
      <alignment horizontal="left" vertical="center" indent="1"/>
    </xf>
    <xf numFmtId="0" fontId="19" fillId="54" borderId="22" applyNumberFormat="0" applyProtection="0">
      <alignment horizontal="left" vertical="center" indent="1"/>
    </xf>
    <xf numFmtId="0" fontId="19" fillId="54" borderId="22" applyNumberFormat="0" applyProtection="0">
      <alignment horizontal="left" vertical="top" indent="1"/>
    </xf>
    <xf numFmtId="0" fontId="19" fillId="54" borderId="22" applyNumberFormat="0" applyProtection="0">
      <alignment horizontal="left" vertical="top" indent="1"/>
    </xf>
    <xf numFmtId="0" fontId="19" fillId="54" borderId="22" applyNumberFormat="0" applyProtection="0">
      <alignment horizontal="left" vertical="top" indent="1"/>
    </xf>
    <xf numFmtId="0" fontId="19" fillId="54" borderId="22" applyNumberFormat="0" applyProtection="0">
      <alignment horizontal="left" vertical="top" indent="1"/>
    </xf>
    <xf numFmtId="0" fontId="19" fillId="55" borderId="22" applyNumberFormat="0" applyProtection="0">
      <alignment horizontal="left" vertical="center" indent="1"/>
    </xf>
    <xf numFmtId="0" fontId="19" fillId="55" borderId="22" applyNumberFormat="0" applyProtection="0">
      <alignment horizontal="left" vertical="center" indent="1"/>
    </xf>
    <xf numFmtId="0" fontId="19" fillId="55" borderId="22" applyNumberFormat="0" applyProtection="0">
      <alignment horizontal="left" vertical="center" indent="1"/>
    </xf>
    <xf numFmtId="0" fontId="19" fillId="55" borderId="22" applyNumberFormat="0" applyProtection="0">
      <alignment horizontal="left" vertical="center" indent="1"/>
    </xf>
    <xf numFmtId="0" fontId="19" fillId="55" borderId="22" applyNumberFormat="0" applyProtection="0">
      <alignment horizontal="left" vertical="top" indent="1"/>
    </xf>
    <xf numFmtId="0" fontId="19" fillId="55" borderId="22" applyNumberFormat="0" applyProtection="0">
      <alignment horizontal="left" vertical="top" indent="1"/>
    </xf>
    <xf numFmtId="0" fontId="19" fillId="55" borderId="22" applyNumberFormat="0" applyProtection="0">
      <alignment horizontal="left" vertical="top" indent="1"/>
    </xf>
    <xf numFmtId="0" fontId="19" fillId="55" borderId="22" applyNumberFormat="0" applyProtection="0">
      <alignment horizontal="left" vertical="top" indent="1"/>
    </xf>
    <xf numFmtId="4" fontId="47" fillId="35" borderId="22" applyNumberFormat="0" applyProtection="0">
      <alignment vertical="center"/>
    </xf>
    <xf numFmtId="4" fontId="51" fillId="35" borderId="22" applyNumberFormat="0" applyProtection="0">
      <alignment vertical="center"/>
    </xf>
    <xf numFmtId="4" fontId="47" fillId="35" borderId="22" applyNumberFormat="0" applyProtection="0">
      <alignment horizontal="left" vertical="center" indent="1"/>
    </xf>
    <xf numFmtId="0" fontId="47" fillId="35" borderId="22" applyNumberFormat="0" applyProtection="0">
      <alignment horizontal="left" vertical="top" indent="1"/>
    </xf>
    <xf numFmtId="4" fontId="47" fillId="0" borderId="22" applyNumberFormat="0" applyProtection="0">
      <alignment horizontal="right" vertical="center"/>
    </xf>
    <xf numFmtId="4" fontId="47" fillId="0" borderId="22" applyNumberFormat="0" applyProtection="0">
      <alignment horizontal="right" vertical="center"/>
    </xf>
    <xf numFmtId="4" fontId="51" fillId="49" borderId="22" applyNumberFormat="0" applyProtection="0">
      <alignment horizontal="right" vertical="center"/>
    </xf>
    <xf numFmtId="4" fontId="47" fillId="0" borderId="22" applyNumberFormat="0" applyProtection="0">
      <alignment horizontal="left" vertical="center" indent="1"/>
    </xf>
    <xf numFmtId="4" fontId="47" fillId="0" borderId="22" applyNumberFormat="0" applyProtection="0">
      <alignment horizontal="left" vertical="center" indent="1"/>
    </xf>
    <xf numFmtId="0" fontId="47" fillId="34" borderId="22" applyNumberFormat="0" applyProtection="0">
      <alignment horizontal="left" vertical="top"/>
    </xf>
    <xf numFmtId="0" fontId="47" fillId="34" borderId="22" applyNumberFormat="0" applyProtection="0">
      <alignment horizontal="left" vertical="top"/>
    </xf>
    <xf numFmtId="4" fontId="25" fillId="49" borderId="22" applyNumberFormat="0" applyProtection="0">
      <alignment horizontal="right" vertical="center"/>
    </xf>
    <xf numFmtId="4" fontId="27" fillId="38" borderId="22" applyNumberFormat="0" applyProtection="0">
      <alignment horizontal="left" vertical="center" indent="1"/>
    </xf>
    <xf numFmtId="4" fontId="27" fillId="38" borderId="22" applyNumberFormat="0" applyProtection="0">
      <alignment horizontal="left" vertical="center" indent="1"/>
    </xf>
    <xf numFmtId="4" fontId="27" fillId="38" borderId="22" applyNumberFormat="0" applyProtection="0">
      <alignment horizontal="left" vertical="center" indent="1"/>
    </xf>
    <xf numFmtId="4" fontId="27" fillId="38" borderId="22" applyNumberFormat="0" applyProtection="0">
      <alignment horizontal="left" vertical="center" indent="1"/>
    </xf>
    <xf numFmtId="4" fontId="27" fillId="38" borderId="22" applyNumberFormat="0" applyProtection="0">
      <alignment vertical="center"/>
    </xf>
    <xf numFmtId="4" fontId="27" fillId="34" borderId="22" applyNumberFormat="0" applyProtection="0"/>
    <xf numFmtId="4" fontId="27" fillId="34" borderId="22" applyNumberFormat="0" applyProtection="0"/>
    <xf numFmtId="4" fontId="27" fillId="34" borderId="22" applyNumberFormat="0" applyProtection="0"/>
    <xf numFmtId="4" fontId="27" fillId="34" borderId="22" applyNumberFormat="0" applyProtection="0"/>
    <xf numFmtId="0" fontId="19" fillId="50" borderId="22" applyNumberFormat="0" applyProtection="0">
      <alignment horizontal="left" vertical="center" indent="1"/>
    </xf>
    <xf numFmtId="0" fontId="19" fillId="50" borderId="22" applyNumberFormat="0" applyProtection="0">
      <alignment horizontal="left" vertical="top" indent="1"/>
    </xf>
    <xf numFmtId="0" fontId="19" fillId="34" borderId="22" applyNumberFormat="0" applyProtection="0">
      <alignment horizontal="left" vertical="center" indent="1"/>
    </xf>
    <xf numFmtId="0" fontId="19" fillId="34" borderId="22" applyNumberFormat="0" applyProtection="0">
      <alignment horizontal="left" vertical="top" indent="1"/>
    </xf>
    <xf numFmtId="0" fontId="19" fillId="54" borderId="22" applyNumberFormat="0" applyProtection="0">
      <alignment horizontal="left" vertical="center" indent="1"/>
    </xf>
    <xf numFmtId="0" fontId="19" fillId="54" borderId="22" applyNumberFormat="0" applyProtection="0">
      <alignment horizontal="left" vertical="top" indent="1"/>
    </xf>
    <xf numFmtId="0" fontId="19" fillId="55" borderId="22" applyNumberFormat="0" applyProtection="0">
      <alignment horizontal="left" vertical="center" indent="1"/>
    </xf>
    <xf numFmtId="0" fontId="19" fillId="55" borderId="22" applyNumberFormat="0" applyProtection="0">
      <alignment horizontal="left" vertical="top" indent="1"/>
    </xf>
    <xf numFmtId="4" fontId="47" fillId="0" borderId="22" applyNumberFormat="0" applyProtection="0">
      <alignment horizontal="right" vertical="center"/>
    </xf>
    <xf numFmtId="4" fontId="47" fillId="0" borderId="22" applyNumberFormat="0" applyProtection="0">
      <alignment horizontal="right" vertical="center"/>
    </xf>
    <xf numFmtId="4" fontId="47" fillId="0" borderId="22" applyNumberFormat="0" applyProtection="0">
      <alignment horizontal="right" vertical="center"/>
    </xf>
    <xf numFmtId="4" fontId="47" fillId="0" borderId="22" applyNumberFormat="0" applyProtection="0">
      <alignment horizontal="right" vertical="center"/>
    </xf>
    <xf numFmtId="4" fontId="47" fillId="0" borderId="22" applyNumberFormat="0" applyProtection="0">
      <alignment horizontal="left" vertical="center" indent="1"/>
    </xf>
    <xf numFmtId="4" fontId="47" fillId="0" borderId="22" applyNumberFormat="0" applyProtection="0">
      <alignment horizontal="left" vertical="center" indent="1"/>
    </xf>
    <xf numFmtId="4" fontId="47" fillId="0" borderId="22" applyNumberFormat="0" applyProtection="0">
      <alignment horizontal="left" vertical="center" indent="1"/>
    </xf>
    <xf numFmtId="4" fontId="47" fillId="0" borderId="22" applyNumberFormat="0" applyProtection="0">
      <alignment horizontal="left" vertical="center" indent="1"/>
    </xf>
    <xf numFmtId="4" fontId="47" fillId="59" borderId="22" applyNumberFormat="0" applyProtection="0">
      <alignment horizontal="left" vertical="center" indent="1"/>
    </xf>
    <xf numFmtId="0" fontId="47" fillId="34" borderId="22" applyNumberFormat="0" applyProtection="0">
      <alignment horizontal="left" vertical="top"/>
    </xf>
    <xf numFmtId="0" fontId="47" fillId="34" borderId="22" applyNumberFormat="0" applyProtection="0">
      <alignment horizontal="left" vertical="top"/>
    </xf>
    <xf numFmtId="0" fontId="47" fillId="34" borderId="22" applyNumberFormat="0" applyProtection="0">
      <alignment horizontal="left" vertical="top"/>
    </xf>
    <xf numFmtId="0" fontId="47" fillId="34" borderId="22" applyNumberFormat="0" applyProtection="0">
      <alignment horizontal="left" vertical="top"/>
    </xf>
    <xf numFmtId="0" fontId="47" fillId="34" borderId="22" applyNumberFormat="0" applyProtection="0">
      <alignment horizontal="center" vertical="top"/>
    </xf>
    <xf numFmtId="4" fontId="47" fillId="51" borderId="22" applyNumberFormat="0" applyProtection="0">
      <alignment horizontal="left" vertical="center" indent="1"/>
    </xf>
    <xf numFmtId="4" fontId="27" fillId="38" borderId="22" applyNumberFormat="0" applyProtection="0">
      <alignment horizontal="left" vertical="center" indent="1"/>
    </xf>
    <xf numFmtId="4" fontId="47" fillId="0" borderId="22" applyNumberFormat="0" applyProtection="0">
      <alignment horizontal="right" vertical="center"/>
    </xf>
    <xf numFmtId="4" fontId="47" fillId="0" borderId="22" applyNumberFormat="0" applyProtection="0">
      <alignment horizontal="left" vertical="center" indent="1"/>
    </xf>
    <xf numFmtId="0" fontId="47" fillId="34" borderId="22" applyNumberFormat="0" applyProtection="0">
      <alignment horizontal="left" vertical="top"/>
    </xf>
    <xf numFmtId="0" fontId="102" fillId="79" borderId="63" applyNumberFormat="0" applyAlignment="0" applyProtection="0"/>
    <xf numFmtId="0" fontId="102" fillId="79" borderId="63" applyNumberFormat="0" applyAlignment="0" applyProtection="0"/>
    <xf numFmtId="0" fontId="102" fillId="79" borderId="63" applyNumberFormat="0" applyAlignment="0" applyProtection="0"/>
    <xf numFmtId="0" fontId="102" fillId="79" borderId="63" applyNumberFormat="0" applyAlignment="0" applyProtection="0"/>
    <xf numFmtId="0" fontId="110" fillId="77" borderId="63" applyNumberFormat="0" applyAlignment="0" applyProtection="0"/>
    <xf numFmtId="0" fontId="110" fillId="77" borderId="63" applyNumberFormat="0" applyAlignment="0" applyProtection="0"/>
    <xf numFmtId="0" fontId="110" fillId="77" borderId="63" applyNumberFormat="0" applyAlignment="0" applyProtection="0"/>
    <xf numFmtId="0" fontId="110" fillId="77" borderId="63" applyNumberFormat="0" applyAlignment="0" applyProtection="0"/>
    <xf numFmtId="0" fontId="19" fillId="76" borderId="64" applyNumberFormat="0" applyFont="0" applyAlignment="0" applyProtection="0"/>
    <xf numFmtId="0" fontId="19" fillId="76" borderId="64" applyNumberFormat="0" applyFont="0" applyAlignment="0" applyProtection="0"/>
    <xf numFmtId="0" fontId="19" fillId="76" borderId="64" applyNumberFormat="0" applyFont="0" applyAlignment="0" applyProtection="0"/>
    <xf numFmtId="0" fontId="19" fillId="76" borderId="64" applyNumberFormat="0" applyFont="0" applyAlignment="0" applyProtection="0"/>
    <xf numFmtId="0" fontId="19" fillId="76" borderId="64" applyNumberFormat="0" applyFont="0" applyAlignment="0" applyProtection="0"/>
    <xf numFmtId="0" fontId="19" fillId="76" borderId="64" applyNumberFormat="0" applyFon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9" fillId="84" borderId="22" applyNumberFormat="0" applyProtection="0">
      <alignment horizontal="left" vertical="center" indent="1"/>
    </xf>
    <xf numFmtId="0" fontId="19" fillId="84" borderId="22" applyNumberFormat="0" applyProtection="0">
      <alignment horizontal="left" vertical="center" indent="1"/>
    </xf>
    <xf numFmtId="0" fontId="19" fillId="84" borderId="22" applyNumberFormat="0" applyProtection="0">
      <alignment horizontal="left" vertical="top" indent="1"/>
    </xf>
    <xf numFmtId="0" fontId="19" fillId="84" borderId="22" applyNumberFormat="0" applyProtection="0">
      <alignment horizontal="left" vertical="top" indent="1"/>
    </xf>
    <xf numFmtId="0" fontId="19" fillId="51" borderId="22" applyNumberFormat="0" applyProtection="0">
      <alignment horizontal="left" vertical="center" indent="1"/>
    </xf>
    <xf numFmtId="0" fontId="19" fillId="51" borderId="22" applyNumberFormat="0" applyProtection="0">
      <alignment horizontal="left" vertical="center" indent="1"/>
    </xf>
    <xf numFmtId="0" fontId="19" fillId="51" borderId="22" applyNumberFormat="0" applyProtection="0">
      <alignment horizontal="left" vertical="top" indent="1"/>
    </xf>
    <xf numFmtId="0" fontId="19" fillId="51" borderId="22" applyNumberFormat="0" applyProtection="0">
      <alignment horizontal="left" vertical="top" indent="1"/>
    </xf>
    <xf numFmtId="0" fontId="19" fillId="85" borderId="22" applyNumberFormat="0" applyProtection="0">
      <alignment horizontal="left" vertical="center" indent="1"/>
    </xf>
    <xf numFmtId="0" fontId="19" fillId="85" borderId="22" applyNumberFormat="0" applyProtection="0">
      <alignment horizontal="left" vertical="center" indent="1"/>
    </xf>
    <xf numFmtId="0" fontId="19" fillId="85" borderId="22" applyNumberFormat="0" applyProtection="0">
      <alignment horizontal="left" vertical="top" indent="1"/>
    </xf>
    <xf numFmtId="0" fontId="19" fillId="85" borderId="22" applyNumberFormat="0" applyProtection="0">
      <alignment horizontal="left" vertical="top" indent="1"/>
    </xf>
    <xf numFmtId="0" fontId="19" fillId="49" borderId="22" applyNumberFormat="0" applyProtection="0">
      <alignment horizontal="left" vertical="center" indent="1"/>
    </xf>
    <xf numFmtId="0" fontId="19" fillId="49" borderId="22" applyNumberFormat="0" applyProtection="0">
      <alignment horizontal="left" vertical="center" indent="1"/>
    </xf>
    <xf numFmtId="0" fontId="19" fillId="49" borderId="22" applyNumberFormat="0" applyProtection="0">
      <alignment horizontal="left" vertical="top" indent="1"/>
    </xf>
    <xf numFmtId="0" fontId="19" fillId="49" borderId="22" applyNumberFormat="0" applyProtection="0">
      <alignment horizontal="left" vertical="top" indent="1"/>
    </xf>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24" fillId="59" borderId="68" applyNumberFormat="0" applyFont="0" applyAlignment="0" applyProtection="0">
      <protection locked="0"/>
    </xf>
    <xf numFmtId="0" fontId="63" fillId="59" borderId="68" applyNumberFormat="0" applyFont="0" applyFill="0" applyAlignment="0" applyProtection="0">
      <protection locked="0"/>
    </xf>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4" fontId="25" fillId="49" borderId="22" applyNumberFormat="0" applyProtection="0">
      <alignment horizontal="right" vertical="center"/>
    </xf>
    <xf numFmtId="0" fontId="47" fillId="34" borderId="22" applyNumberFormat="0" applyProtection="0">
      <alignment horizontal="left" vertical="top"/>
    </xf>
    <xf numFmtId="4" fontId="47" fillId="0" borderId="22" applyNumberFormat="0" applyProtection="0">
      <alignment horizontal="left" vertical="center" indent="1"/>
    </xf>
    <xf numFmtId="4" fontId="51" fillId="49" borderId="22" applyNumberFormat="0" applyProtection="0">
      <alignment horizontal="right" vertical="center"/>
    </xf>
    <xf numFmtId="4" fontId="47" fillId="0" borderId="22" applyNumberFormat="0" applyProtection="0">
      <alignment horizontal="right" vertical="center"/>
    </xf>
    <xf numFmtId="0" fontId="47" fillId="35" borderId="22" applyNumberFormat="0" applyProtection="0">
      <alignment horizontal="left" vertical="top" indent="1"/>
    </xf>
    <xf numFmtId="4" fontId="47" fillId="35" borderId="22" applyNumberFormat="0" applyProtection="0">
      <alignment horizontal="left" vertical="center" indent="1"/>
    </xf>
    <xf numFmtId="4" fontId="51" fillId="35" borderId="22" applyNumberFormat="0" applyProtection="0">
      <alignment vertical="center"/>
    </xf>
    <xf numFmtId="4" fontId="47" fillId="35" borderId="22" applyNumberFormat="0" applyProtection="0">
      <alignment vertical="center"/>
    </xf>
    <xf numFmtId="0" fontId="19" fillId="49" borderId="22" applyNumberFormat="0" applyProtection="0">
      <alignment horizontal="left" vertical="top" indent="1"/>
    </xf>
    <xf numFmtId="0" fontId="19" fillId="49" borderId="22" applyNumberFormat="0" applyProtection="0">
      <alignment horizontal="left" vertical="top" indent="1"/>
    </xf>
    <xf numFmtId="0" fontId="19" fillId="55" borderId="22" applyNumberFormat="0" applyProtection="0">
      <alignment horizontal="left" vertical="top" indent="1"/>
    </xf>
    <xf numFmtId="0" fontId="19" fillId="49" borderId="22" applyNumberFormat="0" applyProtection="0">
      <alignment horizontal="left" vertical="center" indent="1"/>
    </xf>
    <xf numFmtId="0" fontId="19" fillId="49" borderId="22" applyNumberFormat="0" applyProtection="0">
      <alignment horizontal="left" vertical="center" indent="1"/>
    </xf>
    <xf numFmtId="0" fontId="19" fillId="55" borderId="22" applyNumberFormat="0" applyProtection="0">
      <alignment horizontal="left" vertical="center" indent="1"/>
    </xf>
    <xf numFmtId="0" fontId="19" fillId="85" borderId="22" applyNumberFormat="0" applyProtection="0">
      <alignment horizontal="left" vertical="top" indent="1"/>
    </xf>
    <xf numFmtId="0" fontId="19" fillId="85" borderId="22" applyNumberFormat="0" applyProtection="0">
      <alignment horizontal="left" vertical="top" indent="1"/>
    </xf>
    <xf numFmtId="0" fontId="19" fillId="54" borderId="22" applyNumberFormat="0" applyProtection="0">
      <alignment horizontal="left" vertical="top" indent="1"/>
    </xf>
    <xf numFmtId="0" fontId="19" fillId="85" borderId="22" applyNumberFormat="0" applyProtection="0">
      <alignment horizontal="left" vertical="center" indent="1"/>
    </xf>
    <xf numFmtId="0" fontId="19" fillId="85" borderId="22" applyNumberFormat="0" applyProtection="0">
      <alignment horizontal="left" vertical="center" indent="1"/>
    </xf>
    <xf numFmtId="0" fontId="19" fillId="54" borderId="22" applyNumberFormat="0" applyProtection="0">
      <alignment horizontal="left" vertical="center" indent="1"/>
    </xf>
    <xf numFmtId="0" fontId="19" fillId="51" borderId="22" applyNumberFormat="0" applyProtection="0">
      <alignment horizontal="left" vertical="top" indent="1"/>
    </xf>
    <xf numFmtId="0" fontId="19" fillId="51" borderId="22" applyNumberFormat="0" applyProtection="0">
      <alignment horizontal="left" vertical="top" indent="1"/>
    </xf>
    <xf numFmtId="0" fontId="19" fillId="34" borderId="22" applyNumberFormat="0" applyProtection="0">
      <alignment horizontal="left" vertical="top" indent="1"/>
    </xf>
    <xf numFmtId="0" fontId="19" fillId="51" borderId="22" applyNumberFormat="0" applyProtection="0">
      <alignment horizontal="left" vertical="center" indent="1"/>
    </xf>
    <xf numFmtId="0" fontId="19" fillId="51" borderId="22" applyNumberFormat="0" applyProtection="0">
      <alignment horizontal="left" vertical="center" indent="1"/>
    </xf>
    <xf numFmtId="0" fontId="19" fillId="34" borderId="22" applyNumberFormat="0" applyProtection="0">
      <alignment horizontal="left" vertical="center" indent="1"/>
    </xf>
    <xf numFmtId="0" fontId="19" fillId="84" borderId="22" applyNumberFormat="0" applyProtection="0">
      <alignment horizontal="left" vertical="top" indent="1"/>
    </xf>
    <xf numFmtId="0" fontId="19" fillId="84" borderId="22" applyNumberFormat="0" applyProtection="0">
      <alignment horizontal="left" vertical="top" indent="1"/>
    </xf>
    <xf numFmtId="0" fontId="19" fillId="50" borderId="22" applyNumberFormat="0" applyProtection="0">
      <alignment horizontal="left" vertical="top" indent="1"/>
    </xf>
    <xf numFmtId="0" fontId="19" fillId="84" borderId="22" applyNumberFormat="0" applyProtection="0">
      <alignment horizontal="left" vertical="center" indent="1"/>
    </xf>
    <xf numFmtId="0" fontId="19" fillId="84" borderId="22" applyNumberFormat="0" applyProtection="0">
      <alignment horizontal="left" vertical="center" indent="1"/>
    </xf>
    <xf numFmtId="0" fontId="19" fillId="50" borderId="22" applyNumberFormat="0" applyProtection="0">
      <alignment horizontal="left" vertical="center" indent="1"/>
    </xf>
    <xf numFmtId="4" fontId="47" fillId="51" borderId="22" applyNumberFormat="0" applyProtection="0">
      <alignment horizontal="right" vertical="center"/>
    </xf>
    <xf numFmtId="4" fontId="47" fillId="47" borderId="22" applyNumberFormat="0" applyProtection="0">
      <alignment horizontal="right" vertical="center"/>
    </xf>
    <xf numFmtId="4" fontId="47" fillId="46" borderId="22" applyNumberFormat="0" applyProtection="0">
      <alignment horizontal="right" vertical="center"/>
    </xf>
    <xf numFmtId="4" fontId="47" fillId="45" borderId="22" applyNumberFormat="0" applyProtection="0">
      <alignment horizontal="right" vertical="center"/>
    </xf>
    <xf numFmtId="4" fontId="47" fillId="44" borderId="22" applyNumberFormat="0" applyProtection="0">
      <alignment horizontal="right" vertical="center"/>
    </xf>
    <xf numFmtId="4" fontId="47" fillId="43" borderId="22" applyNumberFormat="0" applyProtection="0">
      <alignment horizontal="right" vertical="center"/>
    </xf>
    <xf numFmtId="4" fontId="47" fillId="42" borderId="22" applyNumberFormat="0" applyProtection="0">
      <alignment horizontal="right" vertical="center"/>
    </xf>
    <xf numFmtId="4" fontId="47" fillId="41" borderId="22" applyNumberFormat="0" applyProtection="0">
      <alignment horizontal="right" vertical="center"/>
    </xf>
    <xf numFmtId="4" fontId="47" fillId="40" borderId="22" applyNumberFormat="0" applyProtection="0">
      <alignment horizontal="right" vertical="center"/>
    </xf>
    <xf numFmtId="4" fontId="47" fillId="39" borderId="22" applyNumberFormat="0" applyProtection="0">
      <alignment horizontal="right" vertical="center"/>
    </xf>
    <xf numFmtId="0" fontId="27" fillId="38" borderId="22" applyNumberFormat="0" applyProtection="0">
      <alignment horizontal="left" vertical="top" indent="1"/>
    </xf>
    <xf numFmtId="4" fontId="27" fillId="38" borderId="22" applyNumberFormat="0" applyProtection="0">
      <alignment horizontal="left" vertical="center" indent="1"/>
    </xf>
    <xf numFmtId="4" fontId="46" fillId="38" borderId="22" applyNumberFormat="0" applyProtection="0">
      <alignment vertical="center"/>
    </xf>
    <xf numFmtId="4" fontId="27" fillId="37" borderId="22" applyNumberFormat="0" applyProtection="0">
      <alignment vertical="center"/>
    </xf>
    <xf numFmtId="0" fontId="63" fillId="59" borderId="68" applyNumberFormat="0" applyFont="0" applyFill="0" applyAlignment="0" applyProtection="0">
      <protection locked="0"/>
    </xf>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14" fillId="79" borderId="65" applyNumberFormat="0" applyAlignment="0" applyProtection="0"/>
    <xf numFmtId="0" fontId="102" fillId="79" borderId="63" applyNumberFormat="0" applyAlignment="0" applyProtection="0"/>
    <xf numFmtId="0" fontId="102" fillId="79" borderId="63" applyNumberFormat="0" applyAlignment="0" applyProtection="0"/>
    <xf numFmtId="0" fontId="102" fillId="79" borderId="63" applyNumberFormat="0" applyAlignment="0" applyProtection="0"/>
    <xf numFmtId="0" fontId="102" fillId="79" borderId="63" applyNumberFormat="0" applyAlignment="0" applyProtection="0"/>
    <xf numFmtId="0" fontId="110" fillId="77" borderId="63" applyNumberFormat="0" applyAlignment="0" applyProtection="0"/>
    <xf numFmtId="0" fontId="110" fillId="77" borderId="63" applyNumberFormat="0" applyAlignment="0" applyProtection="0"/>
    <xf numFmtId="0" fontId="110" fillId="77" borderId="63" applyNumberFormat="0" applyAlignment="0" applyProtection="0"/>
    <xf numFmtId="0" fontId="110" fillId="77" borderId="63" applyNumberFormat="0" applyAlignment="0" applyProtection="0"/>
    <xf numFmtId="0" fontId="24" fillId="59" borderId="68" applyNumberFormat="0" applyFont="0" applyAlignment="0" applyProtection="0">
      <protection locked="0"/>
    </xf>
    <xf numFmtId="0" fontId="105" fillId="0" borderId="66" applyNumberFormat="0" applyFill="0" applyAlignment="0" applyProtection="0"/>
    <xf numFmtId="0" fontId="105" fillId="0" borderId="66" applyNumberFormat="0" applyFill="0" applyAlignment="0" applyProtection="0"/>
    <xf numFmtId="0" fontId="102" fillId="79" borderId="69" applyNumberFormat="0" applyAlignment="0" applyProtection="0"/>
    <xf numFmtId="0" fontId="102" fillId="79" borderId="69" applyNumberFormat="0" applyAlignment="0" applyProtection="0"/>
    <xf numFmtId="0" fontId="102" fillId="79" borderId="69" applyNumberFormat="0" applyAlignment="0" applyProtection="0"/>
    <xf numFmtId="0" fontId="102" fillId="79" borderId="69" applyNumberFormat="0" applyAlignment="0" applyProtection="0"/>
    <xf numFmtId="0" fontId="110" fillId="77" borderId="69" applyNumberFormat="0" applyAlignment="0" applyProtection="0"/>
    <xf numFmtId="0" fontId="110" fillId="77" borderId="69" applyNumberFormat="0" applyAlignment="0" applyProtection="0"/>
    <xf numFmtId="0" fontId="110" fillId="77" borderId="69" applyNumberFormat="0" applyAlignment="0" applyProtection="0"/>
    <xf numFmtId="0" fontId="110" fillId="77" borderId="69" applyNumberFormat="0" applyAlignment="0" applyProtection="0"/>
    <xf numFmtId="0" fontId="19" fillId="76" borderId="70" applyNumberFormat="0" applyFont="0" applyAlignment="0" applyProtection="0"/>
    <xf numFmtId="0" fontId="19" fillId="76" borderId="70" applyNumberFormat="0" applyFont="0" applyAlignment="0" applyProtection="0"/>
    <xf numFmtId="0" fontId="19" fillId="76" borderId="70" applyNumberFormat="0" applyFont="0" applyAlignment="0" applyProtection="0"/>
    <xf numFmtId="0" fontId="19" fillId="76" borderId="70" applyNumberFormat="0" applyFont="0" applyAlignment="0" applyProtection="0"/>
    <xf numFmtId="0" fontId="19" fillId="76" borderId="70" applyNumberFormat="0" applyFont="0" applyAlignment="0" applyProtection="0"/>
    <xf numFmtId="0" fontId="19" fillId="76" borderId="70" applyNumberFormat="0" applyFont="0" applyAlignment="0" applyProtection="0"/>
    <xf numFmtId="0" fontId="114" fillId="79" borderId="71" applyNumberFormat="0" applyAlignment="0" applyProtection="0"/>
    <xf numFmtId="0" fontId="114" fillId="79" borderId="71" applyNumberFormat="0" applyAlignment="0" applyProtection="0"/>
    <xf numFmtId="0" fontId="114" fillId="79" borderId="71" applyNumberFormat="0" applyAlignment="0" applyProtection="0"/>
    <xf numFmtId="0" fontId="114" fillId="79" borderId="71" applyNumberFormat="0" applyAlignment="0" applyProtection="0"/>
    <xf numFmtId="0" fontId="114" fillId="79" borderId="71" applyNumberFormat="0" applyAlignment="0" applyProtection="0"/>
    <xf numFmtId="0" fontId="114" fillId="79" borderId="71" applyNumberFormat="0" applyAlignment="0" applyProtection="0"/>
    <xf numFmtId="4" fontId="27" fillId="37" borderId="72" applyNumberFormat="0" applyProtection="0">
      <alignment vertical="center"/>
    </xf>
    <xf numFmtId="4" fontId="46" fillId="38" borderId="72" applyNumberFormat="0" applyProtection="0">
      <alignment vertical="center"/>
    </xf>
    <xf numFmtId="4" fontId="27" fillId="38" borderId="72" applyNumberFormat="0" applyProtection="0">
      <alignment horizontal="left" vertical="center" indent="1"/>
    </xf>
    <xf numFmtId="0" fontId="27" fillId="38" borderId="72" applyNumberFormat="0" applyProtection="0">
      <alignment horizontal="left" vertical="top" indent="1"/>
    </xf>
    <xf numFmtId="4" fontId="47" fillId="39" borderId="72" applyNumberFormat="0" applyProtection="0">
      <alignment horizontal="right" vertical="center"/>
    </xf>
    <xf numFmtId="4" fontId="47" fillId="40" borderId="72" applyNumberFormat="0" applyProtection="0">
      <alignment horizontal="right" vertical="center"/>
    </xf>
    <xf numFmtId="4" fontId="47" fillId="41" borderId="72" applyNumberFormat="0" applyProtection="0">
      <alignment horizontal="right" vertical="center"/>
    </xf>
    <xf numFmtId="4" fontId="47" fillId="42" borderId="72" applyNumberFormat="0" applyProtection="0">
      <alignment horizontal="right" vertical="center"/>
    </xf>
    <xf numFmtId="4" fontId="47" fillId="43" borderId="72" applyNumberFormat="0" applyProtection="0">
      <alignment horizontal="right" vertical="center"/>
    </xf>
    <xf numFmtId="4" fontId="47" fillId="44" borderId="72" applyNumberFormat="0" applyProtection="0">
      <alignment horizontal="right" vertical="center"/>
    </xf>
    <xf numFmtId="4" fontId="47" fillId="45" borderId="72" applyNumberFormat="0" applyProtection="0">
      <alignment horizontal="right" vertical="center"/>
    </xf>
    <xf numFmtId="4" fontId="47" fillId="46" borderId="72" applyNumberFormat="0" applyProtection="0">
      <alignment horizontal="right" vertical="center"/>
    </xf>
    <xf numFmtId="4" fontId="47" fillId="47" borderId="72" applyNumberFormat="0" applyProtection="0">
      <alignment horizontal="right" vertical="center"/>
    </xf>
    <xf numFmtId="4" fontId="47" fillId="51" borderId="72" applyNumberFormat="0" applyProtection="0">
      <alignment horizontal="right" vertical="center"/>
    </xf>
    <xf numFmtId="0" fontId="19" fillId="50" borderId="72" applyNumberFormat="0" applyProtection="0">
      <alignment horizontal="left" vertical="center" indent="1"/>
    </xf>
    <xf numFmtId="0" fontId="19" fillId="84" borderId="72" applyNumberFormat="0" applyProtection="0">
      <alignment horizontal="left" vertical="center" indent="1"/>
    </xf>
    <xf numFmtId="0" fontId="19" fillId="84" borderId="72" applyNumberFormat="0" applyProtection="0">
      <alignment horizontal="left" vertical="center" indent="1"/>
    </xf>
    <xf numFmtId="0" fontId="19" fillId="50" borderId="72" applyNumberFormat="0" applyProtection="0">
      <alignment horizontal="left" vertical="top" indent="1"/>
    </xf>
    <xf numFmtId="0" fontId="19" fillId="84" borderId="72" applyNumberFormat="0" applyProtection="0">
      <alignment horizontal="left" vertical="top" indent="1"/>
    </xf>
    <xf numFmtId="0" fontId="19" fillId="84" borderId="72" applyNumberFormat="0" applyProtection="0">
      <alignment horizontal="left" vertical="top" indent="1"/>
    </xf>
    <xf numFmtId="0" fontId="19" fillId="34" borderId="72" applyNumberFormat="0" applyProtection="0">
      <alignment horizontal="left" vertical="center" indent="1"/>
    </xf>
    <xf numFmtId="0" fontId="19" fillId="51" borderId="72" applyNumberFormat="0" applyProtection="0">
      <alignment horizontal="left" vertical="center" indent="1"/>
    </xf>
    <xf numFmtId="0" fontId="19" fillId="51" borderId="72" applyNumberFormat="0" applyProtection="0">
      <alignment horizontal="left" vertical="center" indent="1"/>
    </xf>
    <xf numFmtId="0" fontId="19" fillId="34" borderId="72" applyNumberFormat="0" applyProtection="0">
      <alignment horizontal="left" vertical="top" indent="1"/>
    </xf>
    <xf numFmtId="0" fontId="19" fillId="51" borderId="72" applyNumberFormat="0" applyProtection="0">
      <alignment horizontal="left" vertical="top" indent="1"/>
    </xf>
    <xf numFmtId="0" fontId="19" fillId="51" borderId="72" applyNumberFormat="0" applyProtection="0">
      <alignment horizontal="left" vertical="top" indent="1"/>
    </xf>
    <xf numFmtId="0" fontId="19" fillId="54" borderId="72" applyNumberFormat="0" applyProtection="0">
      <alignment horizontal="left" vertical="center" indent="1"/>
    </xf>
    <xf numFmtId="0" fontId="19" fillId="85" borderId="72" applyNumberFormat="0" applyProtection="0">
      <alignment horizontal="left" vertical="center" indent="1"/>
    </xf>
    <xf numFmtId="0" fontId="19" fillId="85" borderId="72" applyNumberFormat="0" applyProtection="0">
      <alignment horizontal="left" vertical="center" indent="1"/>
    </xf>
    <xf numFmtId="0" fontId="19" fillId="54" borderId="72" applyNumberFormat="0" applyProtection="0">
      <alignment horizontal="left" vertical="top" indent="1"/>
    </xf>
    <xf numFmtId="0" fontId="19" fillId="85" borderId="72" applyNumberFormat="0" applyProtection="0">
      <alignment horizontal="left" vertical="top" indent="1"/>
    </xf>
    <xf numFmtId="0" fontId="19" fillId="85" borderId="72" applyNumberFormat="0" applyProtection="0">
      <alignment horizontal="left" vertical="top" indent="1"/>
    </xf>
    <xf numFmtId="0" fontId="19" fillId="55" borderId="72" applyNumberFormat="0" applyProtection="0">
      <alignment horizontal="left" vertical="center" indent="1"/>
    </xf>
    <xf numFmtId="0" fontId="19" fillId="49" borderId="72" applyNumberFormat="0" applyProtection="0">
      <alignment horizontal="left" vertical="center" indent="1"/>
    </xf>
    <xf numFmtId="0" fontId="19" fillId="49" borderId="72" applyNumberFormat="0" applyProtection="0">
      <alignment horizontal="left" vertical="center" indent="1"/>
    </xf>
    <xf numFmtId="0" fontId="19" fillId="55" borderId="72" applyNumberFormat="0" applyProtection="0">
      <alignment horizontal="left" vertical="top" indent="1"/>
    </xf>
    <xf numFmtId="0" fontId="19" fillId="49" borderId="72" applyNumberFormat="0" applyProtection="0">
      <alignment horizontal="left" vertical="top" indent="1"/>
    </xf>
    <xf numFmtId="0" fontId="19" fillId="49" borderId="72" applyNumberFormat="0" applyProtection="0">
      <alignment horizontal="left" vertical="top" indent="1"/>
    </xf>
    <xf numFmtId="4" fontId="47" fillId="35" borderId="72" applyNumberFormat="0" applyProtection="0">
      <alignment vertical="center"/>
    </xf>
    <xf numFmtId="4" fontId="51" fillId="35" borderId="72" applyNumberFormat="0" applyProtection="0">
      <alignment vertical="center"/>
    </xf>
    <xf numFmtId="4" fontId="47" fillId="35" borderId="72" applyNumberFormat="0" applyProtection="0">
      <alignment horizontal="left" vertical="center" indent="1"/>
    </xf>
    <xf numFmtId="0" fontId="47" fillId="35" borderId="72" applyNumberFormat="0" applyProtection="0">
      <alignment horizontal="left" vertical="top" indent="1"/>
    </xf>
    <xf numFmtId="4" fontId="47" fillId="0" borderId="72" applyNumberFormat="0" applyProtection="0">
      <alignment horizontal="right" vertical="center"/>
    </xf>
    <xf numFmtId="4" fontId="51" fillId="49" borderId="72" applyNumberFormat="0" applyProtection="0">
      <alignment horizontal="right" vertical="center"/>
    </xf>
    <xf numFmtId="4" fontId="47" fillId="0" borderId="72" applyNumberFormat="0" applyProtection="0">
      <alignment horizontal="left" vertical="center" indent="1"/>
    </xf>
    <xf numFmtId="0" fontId="47" fillId="34" borderId="72" applyNumberFormat="0" applyProtection="0">
      <alignment horizontal="left" vertical="top"/>
    </xf>
    <xf numFmtId="4" fontId="25" fillId="49" borderId="72" applyNumberFormat="0" applyProtection="0">
      <alignment horizontal="right" vertical="center"/>
    </xf>
    <xf numFmtId="0" fontId="105" fillId="0" borderId="73" applyNumberFormat="0" applyFill="0" applyAlignment="0" applyProtection="0"/>
    <xf numFmtId="0" fontId="105" fillId="0" borderId="73" applyNumberFormat="0" applyFill="0" applyAlignment="0" applyProtection="0"/>
    <xf numFmtId="0" fontId="105" fillId="0" borderId="73" applyNumberFormat="0" applyFill="0" applyAlignment="0" applyProtection="0"/>
    <xf numFmtId="0" fontId="105" fillId="0" borderId="73" applyNumberFormat="0" applyFill="0" applyAlignment="0" applyProtection="0"/>
    <xf numFmtId="0" fontId="105" fillId="0" borderId="73" applyNumberFormat="0" applyFill="0" applyAlignment="0" applyProtection="0"/>
    <xf numFmtId="0" fontId="105" fillId="0" borderId="73" applyNumberFormat="0" applyFill="0" applyAlignment="0" applyProtection="0"/>
    <xf numFmtId="177"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7"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8" fillId="0" borderId="0"/>
    <xf numFmtId="0" fontId="18" fillId="0" borderId="0"/>
    <xf numFmtId="0" fontId="18" fillId="0" borderId="0"/>
    <xf numFmtId="0" fontId="18" fillId="0" borderId="0"/>
    <xf numFmtId="44" fontId="18" fillId="0" borderId="0" applyFont="0" applyFill="0" applyBorder="0" applyProtection="0">
      <alignment horizontal="right"/>
    </xf>
  </cellStyleXfs>
  <cellXfs count="1302">
    <xf numFmtId="0" fontId="0" fillId="0" borderId="0" xfId="0"/>
    <xf numFmtId="177" fontId="32" fillId="0" borderId="0" xfId="25741" applyFont="1" applyFill="1" applyAlignment="1">
      <alignment horizontal="centerContinuous"/>
    </xf>
    <xf numFmtId="0" fontId="32" fillId="0" borderId="0" xfId="0" applyFont="1" applyAlignment="1">
      <alignment horizontal="centerContinuous"/>
    </xf>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wrapText="1"/>
    </xf>
    <xf numFmtId="0" fontId="124" fillId="0" borderId="0" xfId="0" applyFont="1" applyFill="1" applyAlignment="1">
      <alignment vertical="center" wrapText="1"/>
    </xf>
    <xf numFmtId="0" fontId="124" fillId="0" borderId="0" xfId="0" applyFont="1" applyAlignment="1">
      <alignment vertical="top" wrapText="1"/>
    </xf>
    <xf numFmtId="0" fontId="124" fillId="96" borderId="0" xfId="0" applyFont="1" applyFill="1" applyAlignment="1">
      <alignment vertical="center"/>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49" fontId="123" fillId="0" borderId="0" xfId="24690" applyNumberFormat="1" applyFont="1" applyFill="1" applyBorder="1" applyAlignment="1">
      <alignment horizontal="center"/>
    </xf>
    <xf numFmtId="0" fontId="124" fillId="0" borderId="0" xfId="0" applyFont="1" applyBorder="1" applyAlignment="1">
      <alignment horizontal="center"/>
    </xf>
    <xf numFmtId="0" fontId="124" fillId="0" borderId="0" xfId="0" applyFont="1" applyBorder="1"/>
    <xf numFmtId="0" fontId="127" fillId="0" borderId="0" xfId="0" applyFont="1" applyAlignment="1">
      <alignment horizontal="center"/>
    </xf>
    <xf numFmtId="0" fontId="124" fillId="0" borderId="0" xfId="0" applyFont="1" applyBorder="1" applyAlignment="1">
      <alignment horizontal="left"/>
    </xf>
    <xf numFmtId="0" fontId="124" fillId="0" borderId="0" xfId="0" applyFont="1" applyFill="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3" fillId="0" borderId="0" xfId="1" applyFont="1" applyBorder="1"/>
    <xf numFmtId="0" fontId="32" fillId="0" borderId="0" xfId="1" applyFont="1" applyFill="1" applyBorder="1" applyProtection="1"/>
    <xf numFmtId="0" fontId="32" fillId="0" borderId="0" xfId="1" applyFont="1" applyFill="1" applyBorder="1"/>
    <xf numFmtId="0" fontId="123" fillId="0" borderId="0" xfId="1" applyFont="1" applyFill="1" applyBorder="1" applyProtection="1"/>
    <xf numFmtId="0" fontId="32" fillId="0" borderId="0" xfId="24545" applyFont="1" applyFill="1" applyBorder="1" applyAlignment="1">
      <alignment horizontal="left" indent="1"/>
    </xf>
    <xf numFmtId="38" fontId="124" fillId="0" borderId="0" xfId="0" applyNumberFormat="1" applyFont="1"/>
    <xf numFmtId="43" fontId="124" fillId="0" borderId="0" xfId="0" applyNumberFormat="1" applyFont="1"/>
    <xf numFmtId="0" fontId="123" fillId="0" borderId="0" xfId="1" applyFont="1" applyFill="1" applyBorder="1"/>
    <xf numFmtId="0" fontId="124" fillId="0" borderId="0" xfId="0" applyFont="1" applyFill="1" applyBorder="1"/>
    <xf numFmtId="5" fontId="124" fillId="0" borderId="0" xfId="0" applyNumberFormat="1" applyFont="1"/>
    <xf numFmtId="0" fontId="32" fillId="0" borderId="0" xfId="25455" applyFont="1"/>
    <xf numFmtId="0" fontId="32" fillId="0" borderId="0" xfId="25455" applyFont="1" applyFill="1" applyBorder="1"/>
    <xf numFmtId="189" fontId="124" fillId="0" borderId="0" xfId="0" applyNumberFormat="1" applyFont="1"/>
    <xf numFmtId="0" fontId="32" fillId="0" borderId="0" xfId="25276" applyFont="1" applyBorder="1"/>
    <xf numFmtId="184" fontId="124" fillId="0" borderId="0" xfId="0" applyNumberFormat="1" applyFont="1"/>
    <xf numFmtId="0" fontId="32" fillId="0" borderId="0" xfId="0" applyFont="1" applyBorder="1"/>
    <xf numFmtId="0" fontId="32" fillId="0" borderId="31" xfId="0" applyFont="1" applyBorder="1"/>
    <xf numFmtId="0" fontId="129" fillId="0" borderId="0" xfId="0" applyFont="1"/>
    <xf numFmtId="37" fontId="32" fillId="0" borderId="0" xfId="25455" applyNumberFormat="1" applyFont="1"/>
    <xf numFmtId="37" fontId="124" fillId="0" borderId="0" xfId="0" applyNumberFormat="1" applyFont="1"/>
    <xf numFmtId="0" fontId="32" fillId="0" borderId="0" xfId="25455" applyFont="1" applyBorder="1"/>
    <xf numFmtId="0" fontId="32" fillId="0" borderId="74" xfId="25455" applyFont="1" applyBorder="1" applyAlignment="1">
      <alignment horizontal="center"/>
    </xf>
    <xf numFmtId="0" fontId="32" fillId="0" borderId="11" xfId="25455" applyFont="1" applyFill="1" applyBorder="1" applyAlignment="1">
      <alignment horizontal="center"/>
    </xf>
    <xf numFmtId="0" fontId="32" fillId="0" borderId="14" xfId="25455" applyFont="1" applyFill="1" applyBorder="1" applyAlignment="1">
      <alignment horizontal="center"/>
    </xf>
    <xf numFmtId="37" fontId="32" fillId="0" borderId="14" xfId="25455" applyNumberFormat="1" applyFont="1" applyFill="1" applyBorder="1" applyAlignment="1">
      <alignment horizontal="center"/>
    </xf>
    <xf numFmtId="0" fontId="32" fillId="0" borderId="14" xfId="25455" applyFont="1" applyBorder="1" applyAlignment="1">
      <alignment horizontal="center"/>
    </xf>
    <xf numFmtId="37" fontId="32" fillId="0" borderId="14" xfId="25455" applyNumberFormat="1" applyFont="1" applyBorder="1" applyAlignment="1">
      <alignment horizontal="center"/>
    </xf>
    <xf numFmtId="0" fontId="32" fillId="0" borderId="50" xfId="25455" applyFont="1" applyBorder="1"/>
    <xf numFmtId="0" fontId="32" fillId="0" borderId="62" xfId="25455" applyFont="1" applyBorder="1"/>
    <xf numFmtId="0" fontId="32" fillId="0" borderId="85" xfId="25455" applyFont="1" applyFill="1" applyBorder="1"/>
    <xf numFmtId="0" fontId="32" fillId="0" borderId="85" xfId="25455" applyFont="1" applyBorder="1"/>
    <xf numFmtId="5" fontId="32" fillId="0" borderId="13" xfId="25457" applyNumberFormat="1" applyFont="1" applyFill="1" applyBorder="1">
      <alignment horizontal="right"/>
    </xf>
    <xf numFmtId="44" fontId="32" fillId="0" borderId="13" xfId="25457" applyNumberFormat="1" applyFont="1" applyFill="1" applyBorder="1">
      <alignment horizontal="right"/>
    </xf>
    <xf numFmtId="37" fontId="32" fillId="0" borderId="13" xfId="25457" applyNumberFormat="1" applyFont="1" applyFill="1" applyBorder="1">
      <alignment horizontal="right"/>
    </xf>
    <xf numFmtId="37" fontId="32" fillId="86" borderId="13" xfId="25456" applyNumberFormat="1" applyFont="1" applyFill="1" applyBorder="1"/>
    <xf numFmtId="37" fontId="32" fillId="0" borderId="13" xfId="25456" applyNumberFormat="1" applyFont="1" applyFill="1" applyBorder="1"/>
    <xf numFmtId="37" fontId="32" fillId="87" borderId="13" xfId="25456" applyNumberFormat="1" applyFont="1" applyFill="1" applyBorder="1"/>
    <xf numFmtId="0" fontId="123" fillId="0" borderId="0" xfId="25455" applyFont="1" applyBorder="1"/>
    <xf numFmtId="0" fontId="123" fillId="0" borderId="0" xfId="25455" applyFont="1"/>
    <xf numFmtId="5" fontId="123" fillId="0" borderId="47" xfId="25457" applyNumberFormat="1" applyFont="1" applyBorder="1">
      <alignment horizontal="right"/>
    </xf>
    <xf numFmtId="5" fontId="123" fillId="0" borderId="47" xfId="25457" applyNumberFormat="1" applyFont="1" applyFill="1" applyBorder="1">
      <alignment horizontal="right"/>
    </xf>
    <xf numFmtId="5" fontId="123" fillId="0" borderId="74" xfId="25457" applyNumberFormat="1" applyFont="1" applyBorder="1">
      <alignment horizontal="right"/>
    </xf>
    <xf numFmtId="5" fontId="123" fillId="0" borderId="74" xfId="25457" applyNumberFormat="1" applyFont="1" applyFill="1" applyBorder="1">
      <alignment horizontal="right"/>
    </xf>
    <xf numFmtId="5" fontId="32" fillId="86" borderId="13" xfId="25457" applyNumberFormat="1" applyFont="1" applyFill="1" applyBorder="1">
      <alignment horizontal="right"/>
    </xf>
    <xf numFmtId="41" fontId="32" fillId="86" borderId="13" xfId="25457" applyNumberFormat="1" applyFont="1" applyFill="1" applyBorder="1">
      <alignment horizontal="right"/>
    </xf>
    <xf numFmtId="5" fontId="32" fillId="87" borderId="13" xfId="25457" applyNumberFormat="1" applyFont="1" applyFill="1" applyBorder="1">
      <alignment horizontal="right"/>
    </xf>
    <xf numFmtId="5" fontId="32" fillId="86" borderId="13" xfId="25456" applyNumberFormat="1" applyFont="1" applyFill="1" applyBorder="1"/>
    <xf numFmtId="5" fontId="32" fillId="87" borderId="13" xfId="25456" applyNumberFormat="1" applyFont="1" applyFill="1" applyBorder="1"/>
    <xf numFmtId="5" fontId="32" fillId="0" borderId="47" xfId="25457" applyNumberFormat="1" applyFont="1" applyBorder="1">
      <alignment horizontal="right"/>
    </xf>
    <xf numFmtId="5" fontId="123" fillId="0" borderId="60" xfId="25457" applyNumberFormat="1" applyFont="1" applyBorder="1">
      <alignment horizontal="right"/>
    </xf>
    <xf numFmtId="5" fontId="123" fillId="0" borderId="60" xfId="25457" applyNumberFormat="1" applyFont="1" applyFill="1" applyBorder="1">
      <alignment horizontal="right"/>
    </xf>
    <xf numFmtId="37" fontId="123" fillId="0" borderId="60" xfId="25457" applyNumberFormat="1" applyFont="1" applyBorder="1">
      <alignment horizontal="right"/>
    </xf>
    <xf numFmtId="5" fontId="32" fillId="0" borderId="47" xfId="25456" applyNumberFormat="1" applyFont="1" applyFill="1" applyBorder="1"/>
    <xf numFmtId="0" fontId="123" fillId="0" borderId="0" xfId="25455" applyFont="1" applyFill="1" applyBorder="1"/>
    <xf numFmtId="37" fontId="123" fillId="0" borderId="47" xfId="25457" applyNumberFormat="1" applyFont="1" applyBorder="1">
      <alignment horizontal="right"/>
    </xf>
    <xf numFmtId="182" fontId="123" fillId="0" borderId="47" xfId="25457" applyNumberFormat="1" applyFont="1" applyBorder="1">
      <alignment horizontal="right"/>
    </xf>
    <xf numFmtId="0" fontId="123" fillId="0" borderId="0" xfId="25455" applyFont="1" applyFill="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3" fontId="32" fillId="0" borderId="0" xfId="25455" applyNumberFormat="1" applyFont="1" applyFill="1" applyBorder="1"/>
    <xf numFmtId="181"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39" fontId="123" fillId="0" borderId="103" xfId="25744" applyNumberFormat="1" applyFont="1" applyBorder="1"/>
    <xf numFmtId="0" fontId="123" fillId="0" borderId="0" xfId="25752" applyFont="1" applyAlignment="1">
      <alignment horizontal="center" vertical="center" wrapText="1"/>
    </xf>
    <xf numFmtId="43" fontId="123" fillId="97" borderId="97" xfId="25744" applyFont="1" applyFill="1" applyBorder="1" applyAlignment="1">
      <alignment horizontal="center" vertical="center" wrapText="1"/>
    </xf>
    <xf numFmtId="43" fontId="123" fillId="97" borderId="0" xfId="25744" applyFont="1" applyFill="1" applyBorder="1" applyAlignment="1">
      <alignment horizontal="center" vertical="center" wrapText="1"/>
    </xf>
    <xf numFmtId="43" fontId="123" fillId="97" borderId="98" xfId="25744" applyFont="1" applyFill="1" applyBorder="1" applyAlignment="1">
      <alignment horizontal="center" vertical="center" wrapText="1"/>
    </xf>
    <xf numFmtId="43" fontId="123" fillId="98" borderId="0" xfId="25744" applyFont="1" applyFill="1" applyAlignment="1">
      <alignment horizontal="center" vertical="center" wrapText="1"/>
    </xf>
    <xf numFmtId="43" fontId="123" fillId="98" borderId="0" xfId="25744" applyFont="1" applyFill="1" applyBorder="1" applyAlignment="1">
      <alignment horizontal="center" vertical="center" wrapText="1"/>
    </xf>
    <xf numFmtId="43" fontId="123" fillId="0" borderId="0" xfId="25744" applyFont="1" applyFill="1" applyBorder="1" applyAlignment="1">
      <alignment horizontal="center" vertical="center" wrapText="1"/>
    </xf>
    <xf numFmtId="43" fontId="123" fillId="0" borderId="99" xfId="25744" applyFont="1" applyBorder="1" applyAlignment="1">
      <alignment horizontal="center" vertical="center" wrapText="1"/>
    </xf>
    <xf numFmtId="43" fontId="123" fillId="97" borderId="99" xfId="25744" applyFont="1" applyFill="1" applyBorder="1" applyAlignment="1">
      <alignment horizontal="center" vertical="center" wrapText="1"/>
    </xf>
    <xf numFmtId="43" fontId="123" fillId="98" borderId="99" xfId="25744" applyFont="1" applyFill="1" applyBorder="1" applyAlignment="1">
      <alignment horizontal="center" vertical="center" wrapText="1"/>
    </xf>
    <xf numFmtId="0" fontId="32" fillId="0" borderId="0" xfId="25796" applyFont="1"/>
    <xf numFmtId="43" fontId="32" fillId="97" borderId="97" xfId="25744" applyFont="1" applyFill="1" applyBorder="1"/>
    <xf numFmtId="43" fontId="32" fillId="97" borderId="0" xfId="25744" applyFont="1" applyFill="1" applyBorder="1"/>
    <xf numFmtId="43" fontId="32" fillId="97" borderId="98" xfId="25744" applyFont="1" applyFill="1" applyBorder="1"/>
    <xf numFmtId="43" fontId="32" fillId="98" borderId="0" xfId="25744" applyFont="1" applyFill="1"/>
    <xf numFmtId="14" fontId="32" fillId="0" borderId="0" xfId="25744" applyNumberFormat="1" applyFont="1" applyFill="1"/>
    <xf numFmtId="43" fontId="32" fillId="0" borderId="0" xfId="25744" applyFont="1" applyFill="1"/>
    <xf numFmtId="43" fontId="32" fillId="0" borderId="99" xfId="25744" applyFont="1" applyBorder="1"/>
    <xf numFmtId="39" fontId="32" fillId="0" borderId="0" xfId="25796" applyNumberFormat="1" applyFont="1"/>
    <xf numFmtId="43" fontId="32" fillId="97" borderId="99" xfId="25744" applyFont="1" applyFill="1" applyBorder="1"/>
    <xf numFmtId="43" fontId="32" fillId="98" borderId="99" xfId="25744" applyFont="1" applyFill="1" applyBorder="1"/>
    <xf numFmtId="39" fontId="32" fillId="0" borderId="0" xfId="25796" applyNumberFormat="1" applyFont="1" applyFill="1"/>
    <xf numFmtId="0" fontId="32" fillId="0" borderId="0" xfId="25796" applyFont="1" applyAlignment="1">
      <alignment horizontal="center"/>
    </xf>
    <xf numFmtId="43" fontId="32" fillId="97" borderId="85" xfId="25744" applyFont="1" applyFill="1" applyBorder="1"/>
    <xf numFmtId="0" fontId="32" fillId="0" borderId="0" xfId="25796" applyFont="1" applyFill="1"/>
    <xf numFmtId="43" fontId="32" fillId="0" borderId="97" xfId="25744" applyFont="1" applyFill="1" applyBorder="1"/>
    <xf numFmtId="43" fontId="32" fillId="0" borderId="0" xfId="25744" applyFont="1" applyFill="1" applyBorder="1"/>
    <xf numFmtId="43" fontId="32" fillId="0" borderId="98" xfId="25744" applyFont="1" applyFill="1" applyBorder="1"/>
    <xf numFmtId="43" fontId="32" fillId="0" borderId="99" xfId="25744" applyFont="1" applyFill="1" applyBorder="1"/>
    <xf numFmtId="43" fontId="32" fillId="89" borderId="99" xfId="25744" applyFont="1" applyFill="1" applyBorder="1"/>
    <xf numFmtId="0" fontId="32" fillId="0" borderId="0" xfId="25752" applyFont="1"/>
    <xf numFmtId="0" fontId="123" fillId="0" borderId="0" xfId="25752" applyFont="1" applyAlignment="1">
      <alignment horizontal="right"/>
    </xf>
    <xf numFmtId="43" fontId="32" fillId="97" borderId="100" xfId="25744" applyFont="1" applyFill="1" applyBorder="1"/>
    <xf numFmtId="43" fontId="32" fillId="97" borderId="75" xfId="25744" applyFont="1" applyFill="1" applyBorder="1"/>
    <xf numFmtId="43" fontId="32" fillId="97" borderId="101" xfId="25744" applyFont="1" applyFill="1" applyBorder="1"/>
    <xf numFmtId="43" fontId="32" fillId="98" borderId="75" xfId="25744" applyFont="1" applyFill="1" applyBorder="1"/>
    <xf numFmtId="43" fontId="32" fillId="0" borderId="75" xfId="25744" applyFont="1" applyFill="1" applyBorder="1"/>
    <xf numFmtId="43" fontId="32" fillId="0" borderId="102" xfId="25744" applyFont="1" applyBorder="1"/>
    <xf numFmtId="39" fontId="32" fillId="0" borderId="102" xfId="25744" applyNumberFormat="1" applyFont="1" applyBorder="1"/>
    <xf numFmtId="43" fontId="32" fillId="97" borderId="102" xfId="25744" applyFont="1" applyFill="1" applyBorder="1"/>
    <xf numFmtId="43" fontId="32" fillId="98" borderId="102" xfId="25744" applyFont="1" applyFill="1" applyBorder="1"/>
    <xf numFmtId="0" fontId="32" fillId="0" borderId="0" xfId="25752" applyFont="1" applyAlignment="1">
      <alignment horizontal="center"/>
    </xf>
    <xf numFmtId="43" fontId="32" fillId="98" borderId="0" xfId="25744" applyFont="1" applyFill="1" applyBorder="1"/>
    <xf numFmtId="39" fontId="32" fillId="0" borderId="0" xfId="25752" applyNumberFormat="1" applyFont="1"/>
    <xf numFmtId="43" fontId="32" fillId="0" borderId="0" xfId="25796" applyNumberFormat="1" applyFont="1"/>
    <xf numFmtId="39" fontId="32" fillId="0" borderId="99" xfId="25744" applyNumberFormat="1" applyFont="1" applyBorder="1"/>
    <xf numFmtId="39" fontId="123" fillId="0" borderId="102"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4" fontId="32" fillId="0" borderId="0" xfId="25796" applyNumberFormat="1" applyFont="1"/>
    <xf numFmtId="0" fontId="123" fillId="0" borderId="76"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5" xfId="0" applyFont="1" applyBorder="1"/>
    <xf numFmtId="0" fontId="32" fillId="91" borderId="0" xfId="0" applyFont="1" applyFill="1"/>
    <xf numFmtId="0" fontId="32" fillId="0" borderId="75" xfId="0" applyFont="1" applyBorder="1" applyAlignment="1">
      <alignment wrapText="1"/>
    </xf>
    <xf numFmtId="0" fontId="123" fillId="0" borderId="75"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4" xfId="25455" applyNumberFormat="1" applyFont="1" applyFill="1" applyBorder="1" applyAlignment="1">
      <alignment horizontal="center"/>
    </xf>
    <xf numFmtId="39" fontId="32" fillId="0" borderId="74" xfId="25455" applyNumberFormat="1" applyFont="1" applyFill="1" applyBorder="1" applyAlignment="1">
      <alignment horizontal="center"/>
    </xf>
    <xf numFmtId="43" fontId="32" fillId="0" borderId="74" xfId="25455" applyNumberFormat="1" applyFont="1" applyBorder="1" applyAlignment="1">
      <alignment horizontal="center"/>
    </xf>
    <xf numFmtId="43" fontId="32" fillId="0" borderId="74"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4" xfId="25455" applyNumberFormat="1" applyFont="1" applyFill="1" applyBorder="1" applyAlignment="1">
      <alignment horizontal="center"/>
    </xf>
    <xf numFmtId="39" fontId="32" fillId="0" borderId="14" xfId="25455" applyNumberFormat="1" applyFont="1" applyFill="1" applyBorder="1" applyAlignment="1">
      <alignment horizontal="center"/>
    </xf>
    <xf numFmtId="43" fontId="32" fillId="0" borderId="14" xfId="25455" applyNumberFormat="1" applyFont="1" applyBorder="1" applyAlignment="1">
      <alignment horizontal="center"/>
    </xf>
    <xf numFmtId="43" fontId="32" fillId="0" borderId="14" xfId="25747" applyNumberFormat="1" applyFont="1" applyFill="1" applyBorder="1" applyAlignment="1">
      <alignment horizontal="center"/>
    </xf>
    <xf numFmtId="0" fontId="123" fillId="91" borderId="75" xfId="0" applyFont="1" applyFill="1" applyBorder="1" applyAlignment="1">
      <alignment horizontal="center"/>
    </xf>
    <xf numFmtId="39" fontId="123" fillId="91" borderId="85" xfId="25745" applyFont="1" applyFill="1" applyBorder="1" applyAlignment="1" applyProtection="1">
      <alignment horizontal="center" wrapText="1"/>
    </xf>
    <xf numFmtId="190" fontId="123" fillId="93" borderId="50" xfId="25745" applyNumberFormat="1" applyFont="1" applyFill="1" applyBorder="1" applyAlignment="1" applyProtection="1">
      <alignment horizontal="center" wrapText="1"/>
    </xf>
    <xf numFmtId="39" fontId="123" fillId="93" borderId="85" xfId="25745" applyFont="1" applyFill="1" applyBorder="1" applyAlignment="1" applyProtection="1">
      <alignment horizontal="center" wrapText="1"/>
    </xf>
    <xf numFmtId="39" fontId="123" fillId="93" borderId="52" xfId="25745" applyFont="1" applyFill="1" applyBorder="1" applyAlignment="1" applyProtection="1">
      <alignment horizontal="center" wrapText="1"/>
    </xf>
    <xf numFmtId="43" fontId="123" fillId="93" borderId="0" xfId="25745" applyNumberFormat="1" applyFont="1" applyFill="1" applyBorder="1" applyAlignment="1" applyProtection="1">
      <alignment horizontal="center" wrapText="1"/>
    </xf>
    <xf numFmtId="39" fontId="123" fillId="93" borderId="0" xfId="25745" applyNumberFormat="1" applyFont="1" applyFill="1" applyBorder="1" applyAlignment="1" applyProtection="1">
      <alignment horizontal="center" wrapText="1"/>
    </xf>
    <xf numFmtId="43" fontId="123" fillId="93" borderId="0" xfId="25747" applyNumberFormat="1" applyFont="1" applyFill="1" applyBorder="1" applyAlignment="1" applyProtection="1">
      <alignment horizontal="center" wrapText="1"/>
    </xf>
    <xf numFmtId="39" fontId="123" fillId="93" borderId="0" xfId="25745" applyFont="1" applyFill="1" applyBorder="1" applyAlignment="1" applyProtection="1">
      <alignment horizontal="center" wrapText="1"/>
    </xf>
    <xf numFmtId="39" fontId="123" fillId="0" borderId="31" xfId="25745" applyFont="1" applyBorder="1" applyAlignment="1" applyProtection="1">
      <alignment horizontal="left"/>
    </xf>
    <xf numFmtId="39" fontId="32" fillId="0" borderId="11" xfId="25745" applyFont="1" applyBorder="1"/>
    <xf numFmtId="0" fontId="32" fillId="91" borderId="0" xfId="0" applyFont="1" applyFill="1" applyBorder="1"/>
    <xf numFmtId="0" fontId="32" fillId="0" borderId="11" xfId="0" applyFont="1" applyBorder="1"/>
    <xf numFmtId="39" fontId="32" fillId="0" borderId="31" xfId="25745" applyFont="1" applyBorder="1" applyAlignment="1" applyProtection="1">
      <alignment horizontal="center"/>
    </xf>
    <xf numFmtId="39" fontId="32" fillId="0" borderId="11" xfId="25745" applyFont="1" applyBorder="1" applyAlignment="1" applyProtection="1">
      <alignment horizontal="left"/>
    </xf>
    <xf numFmtId="43" fontId="32" fillId="91" borderId="0" xfId="0" applyNumberFormat="1" applyFont="1" applyFill="1" applyBorder="1"/>
    <xf numFmtId="43" fontId="32" fillId="0" borderId="31"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1" borderId="49" xfId="0" applyNumberFormat="1" applyFont="1" applyFill="1" applyBorder="1"/>
    <xf numFmtId="43" fontId="32" fillId="0" borderId="80" xfId="0" applyNumberFormat="1" applyFont="1" applyBorder="1"/>
    <xf numFmtId="39" fontId="32" fillId="0" borderId="49" xfId="0" applyNumberFormat="1" applyFont="1" applyBorder="1"/>
    <xf numFmtId="43" fontId="32" fillId="0" borderId="81" xfId="0" applyNumberFormat="1" applyFont="1" applyBorder="1"/>
    <xf numFmtId="39" fontId="32" fillId="0" borderId="81" xfId="0" applyNumberFormat="1" applyFont="1" applyBorder="1"/>
    <xf numFmtId="43" fontId="32" fillId="0" borderId="81" xfId="25747" applyNumberFormat="1" applyFont="1" applyBorder="1"/>
    <xf numFmtId="39" fontId="32" fillId="0" borderId="31" xfId="25745" applyFont="1" applyBorder="1" applyAlignment="1" applyProtection="1">
      <alignment horizontal="left"/>
    </xf>
    <xf numFmtId="43" fontId="32" fillId="0" borderId="0" xfId="0" applyNumberFormat="1" applyFont="1" applyBorder="1"/>
    <xf numFmtId="39" fontId="32" fillId="0" borderId="31" xfId="25745" quotePrefix="1" applyFont="1" applyBorder="1" applyAlignment="1" applyProtection="1">
      <alignment horizontal="center"/>
    </xf>
    <xf numFmtId="43" fontId="32" fillId="0" borderId="31" xfId="0" applyNumberFormat="1" applyFont="1" applyFill="1" applyBorder="1"/>
    <xf numFmtId="43" fontId="32" fillId="0" borderId="11" xfId="0" applyNumberFormat="1" applyFont="1" applyFill="1" applyBorder="1"/>
    <xf numFmtId="39" fontId="32" fillId="0" borderId="31" xfId="0" applyNumberFormat="1" applyFont="1" applyBorder="1"/>
    <xf numFmtId="39" fontId="32" fillId="91" borderId="0" xfId="0" applyNumberFormat="1" applyFont="1" applyFill="1" applyBorder="1"/>
    <xf numFmtId="39" fontId="32" fillId="0" borderId="11" xfId="0" applyNumberFormat="1" applyFont="1" applyBorder="1"/>
    <xf numFmtId="43" fontId="32" fillId="0" borderId="49" xfId="0" applyNumberFormat="1" applyFont="1" applyBorder="1"/>
    <xf numFmtId="43" fontId="32" fillId="91" borderId="78" xfId="0" applyNumberFormat="1" applyFont="1" applyFill="1" applyBorder="1"/>
    <xf numFmtId="43" fontId="32" fillId="0" borderId="83" xfId="0" applyNumberFormat="1" applyFont="1" applyBorder="1"/>
    <xf numFmtId="43" fontId="32" fillId="0" borderId="78" xfId="0" applyNumberFormat="1" applyFont="1" applyBorder="1"/>
    <xf numFmtId="43" fontId="32" fillId="0" borderId="82" xfId="0" applyNumberFormat="1" applyFont="1" applyBorder="1"/>
    <xf numFmtId="39" fontId="32" fillId="0" borderId="82" xfId="0" applyNumberFormat="1" applyFont="1" applyBorder="1"/>
    <xf numFmtId="43" fontId="32" fillId="0" borderId="82" xfId="25747" applyNumberFormat="1" applyFont="1" applyBorder="1"/>
    <xf numFmtId="39" fontId="32" fillId="0" borderId="31" xfId="25745" applyFont="1" applyBorder="1"/>
    <xf numFmtId="180" fontId="32" fillId="0" borderId="31" xfId="0" applyNumberFormat="1" applyFont="1" applyBorder="1"/>
    <xf numFmtId="39" fontId="123" fillId="0" borderId="11" xfId="25745" applyFont="1" applyBorder="1"/>
    <xf numFmtId="39" fontId="32" fillId="91" borderId="49" xfId="0" applyNumberFormat="1" applyFont="1" applyFill="1" applyBorder="1"/>
    <xf numFmtId="39" fontId="32" fillId="0" borderId="80" xfId="0" applyNumberFormat="1" applyFont="1" applyBorder="1"/>
    <xf numFmtId="43" fontId="32" fillId="0" borderId="11" xfId="25747" applyNumberFormat="1" applyFont="1" applyBorder="1"/>
    <xf numFmtId="43" fontId="32" fillId="91" borderId="85" xfId="0" applyNumberFormat="1" applyFont="1" applyFill="1" applyBorder="1"/>
    <xf numFmtId="43" fontId="32" fillId="0" borderId="50" xfId="0" applyNumberFormat="1" applyFont="1" applyBorder="1"/>
    <xf numFmtId="39" fontId="32" fillId="0" borderId="85" xfId="0" applyNumberFormat="1" applyFont="1" applyBorder="1"/>
    <xf numFmtId="43" fontId="32" fillId="0" borderId="52" xfId="0" applyNumberFormat="1" applyFont="1" applyBorder="1"/>
    <xf numFmtId="39" fontId="32" fillId="0" borderId="52" xfId="0" applyNumberFormat="1" applyFont="1" applyBorder="1"/>
    <xf numFmtId="43" fontId="32" fillId="0" borderId="52" xfId="25747" applyNumberFormat="1" applyFont="1" applyBorder="1"/>
    <xf numFmtId="39" fontId="32" fillId="0" borderId="78" xfId="0" applyNumberFormat="1" applyFont="1" applyBorder="1"/>
    <xf numFmtId="49" fontId="32" fillId="0" borderId="31"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5" xfId="0" applyNumberFormat="1" applyFont="1" applyBorder="1"/>
    <xf numFmtId="5" fontId="32" fillId="0" borderId="0" xfId="0" applyNumberFormat="1" applyFont="1" applyFill="1"/>
    <xf numFmtId="39" fontId="123" fillId="0" borderId="31" xfId="25745" applyFont="1" applyBorder="1" applyAlignment="1" applyProtection="1">
      <alignment horizontal="center"/>
    </xf>
    <xf numFmtId="43" fontId="32" fillId="0" borderId="50" xfId="0" applyNumberFormat="1" applyFont="1" applyFill="1" applyBorder="1"/>
    <xf numFmtId="43" fontId="32" fillId="0" borderId="85" xfId="0" applyNumberFormat="1" applyFont="1" applyFill="1" applyBorder="1"/>
    <xf numFmtId="43" fontId="32" fillId="0" borderId="52" xfId="0" applyNumberFormat="1" applyFont="1" applyFill="1" applyBorder="1"/>
    <xf numFmtId="39" fontId="32" fillId="0" borderId="31" xfId="25745" applyFont="1" applyFill="1" applyBorder="1"/>
    <xf numFmtId="39" fontId="32" fillId="0" borderId="11" xfId="25745" applyFont="1" applyFill="1" applyBorder="1"/>
    <xf numFmtId="39" fontId="32" fillId="0" borderId="11" xfId="0" applyNumberFormat="1" applyFont="1" applyFill="1" applyBorder="1"/>
    <xf numFmtId="39" fontId="32" fillId="0" borderId="31" xfId="0" applyNumberFormat="1" applyFont="1" applyFill="1" applyBorder="1"/>
    <xf numFmtId="39" fontId="32" fillId="0" borderId="31"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1" borderId="79" xfId="0" applyNumberFormat="1" applyFont="1" applyFill="1" applyBorder="1"/>
    <xf numFmtId="43" fontId="32" fillId="0" borderId="86" xfId="0" applyNumberFormat="1" applyFont="1" applyBorder="1"/>
    <xf numFmtId="43" fontId="32" fillId="0" borderId="79" xfId="0" applyNumberFormat="1" applyFont="1" applyBorder="1"/>
    <xf numFmtId="43" fontId="32" fillId="0" borderId="87" xfId="0" applyNumberFormat="1" applyFont="1" applyBorder="1"/>
    <xf numFmtId="39" fontId="32" fillId="0" borderId="87" xfId="0" applyNumberFormat="1" applyFont="1" applyBorder="1"/>
    <xf numFmtId="43" fontId="32" fillId="0" borderId="87" xfId="25747" applyNumberFormat="1" applyFont="1" applyBorder="1"/>
    <xf numFmtId="194" fontId="124" fillId="0" borderId="0" xfId="0" applyNumberFormat="1" applyFont="1"/>
    <xf numFmtId="39" fontId="32" fillId="0" borderId="0" xfId="0" applyNumberFormat="1" applyFont="1" applyFill="1" applyBorder="1"/>
    <xf numFmtId="180" fontId="32" fillId="0" borderId="31" xfId="25745" applyNumberFormat="1" applyFont="1" applyBorder="1" applyAlignment="1" applyProtection="1">
      <alignment horizontal="center"/>
    </xf>
    <xf numFmtId="39" fontId="123" fillId="0" borderId="31" xfId="25745" applyFont="1" applyFill="1" applyBorder="1" applyAlignment="1" applyProtection="1">
      <alignment horizontal="left"/>
    </xf>
    <xf numFmtId="39" fontId="32" fillId="86" borderId="31"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0" xfId="25745" applyFont="1" applyBorder="1" applyAlignment="1" applyProtection="1">
      <alignment horizontal="left"/>
    </xf>
    <xf numFmtId="39" fontId="32" fillId="0" borderId="52" xfId="25745" applyFont="1" applyBorder="1"/>
    <xf numFmtId="43" fontId="124" fillId="0" borderId="85" xfId="0" applyNumberFormat="1" applyFont="1" applyBorder="1"/>
    <xf numFmtId="6" fontId="124" fillId="0" borderId="0" xfId="0" applyNumberFormat="1" applyFont="1" applyFill="1"/>
    <xf numFmtId="6" fontId="124" fillId="0" borderId="85" xfId="0" applyNumberFormat="1" applyFont="1" applyFill="1" applyBorder="1"/>
    <xf numFmtId="6" fontId="126" fillId="0" borderId="49" xfId="0" applyNumberFormat="1" applyFont="1" applyBorder="1"/>
    <xf numFmtId="0" fontId="123" fillId="0" borderId="49"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0" fillId="0" borderId="49" xfId="0" applyFont="1" applyBorder="1"/>
    <xf numFmtId="0" fontId="130" fillId="0" borderId="49" xfId="0" applyFont="1" applyBorder="1" applyAlignment="1">
      <alignment horizontal="center"/>
    </xf>
    <xf numFmtId="43" fontId="130" fillId="0" borderId="49" xfId="25768" applyFont="1" applyBorder="1"/>
    <xf numFmtId="0" fontId="130" fillId="0" borderId="0" xfId="0" applyFont="1" applyBorder="1"/>
    <xf numFmtId="43" fontId="130" fillId="0" borderId="0" xfId="25768" applyFont="1" applyBorder="1"/>
    <xf numFmtId="0" fontId="130" fillId="0" borderId="79" xfId="0" applyFont="1" applyBorder="1"/>
    <xf numFmtId="0" fontId="130" fillId="0" borderId="79" xfId="0" applyFont="1" applyBorder="1" applyAlignment="1">
      <alignment horizontal="center"/>
    </xf>
    <xf numFmtId="43" fontId="130" fillId="0" borderId="79" xfId="0" applyNumberFormat="1" applyFont="1" applyFill="1" applyBorder="1"/>
    <xf numFmtId="43" fontId="130" fillId="0" borderId="79"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4" borderId="0" xfId="25768" applyFont="1" applyFill="1"/>
    <xf numFmtId="49" fontId="124" fillId="0" borderId="92" xfId="0" applyNumberFormat="1" applyFont="1" applyBorder="1" applyAlignment="1">
      <alignment horizontal="center"/>
    </xf>
    <xf numFmtId="49" fontId="124" fillId="0" borderId="93" xfId="0" applyNumberFormat="1" applyFont="1" applyBorder="1" applyAlignment="1">
      <alignment horizontal="center"/>
    </xf>
    <xf numFmtId="49" fontId="124" fillId="0" borderId="94"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88" xfId="0" applyNumberFormat="1" applyFont="1" applyBorder="1" applyAlignment="1">
      <alignment horizontal="center"/>
    </xf>
    <xf numFmtId="49" fontId="124" fillId="0" borderId="0" xfId="0" applyNumberFormat="1" applyFont="1" applyBorder="1" applyAlignment="1">
      <alignment horizontal="center"/>
    </xf>
    <xf numFmtId="49" fontId="124" fillId="0" borderId="89" xfId="0" applyNumberFormat="1" applyFont="1" applyBorder="1" applyAlignment="1">
      <alignment horizontal="center"/>
    </xf>
    <xf numFmtId="0" fontId="124" fillId="91" borderId="88" xfId="0" applyFont="1" applyFill="1" applyBorder="1"/>
    <xf numFmtId="0" fontId="124" fillId="91" borderId="0" xfId="0" applyFont="1" applyFill="1" applyBorder="1"/>
    <xf numFmtId="0" fontId="124" fillId="91" borderId="89" xfId="0" applyFont="1" applyFill="1" applyBorder="1"/>
    <xf numFmtId="0" fontId="124" fillId="0" borderId="88" xfId="0" applyFont="1" applyBorder="1"/>
    <xf numFmtId="10" fontId="124" fillId="0" borderId="0" xfId="25795" applyNumberFormat="1" applyFont="1" applyBorder="1"/>
    <xf numFmtId="0" fontId="124" fillId="0" borderId="88" xfId="0" applyFont="1" applyBorder="1" applyAlignment="1">
      <alignment wrapText="1"/>
    </xf>
    <xf numFmtId="0" fontId="126" fillId="0" borderId="85" xfId="0" applyFont="1" applyBorder="1" applyAlignment="1">
      <alignment horizontal="center" wrapText="1"/>
    </xf>
    <xf numFmtId="0" fontId="126" fillId="0" borderId="105" xfId="0" applyFont="1" applyBorder="1" applyAlignment="1">
      <alignment horizontal="center" wrapText="1"/>
    </xf>
    <xf numFmtId="0" fontId="124" fillId="0" borderId="0" xfId="0" applyFont="1" applyBorder="1" applyAlignment="1">
      <alignment wrapText="1"/>
    </xf>
    <xf numFmtId="0" fontId="124" fillId="0" borderId="89" xfId="0" applyFont="1" applyBorder="1" applyAlignment="1">
      <alignment wrapText="1"/>
    </xf>
    <xf numFmtId="165" fontId="124" fillId="0" borderId="88" xfId="25744" applyNumberFormat="1" applyFont="1" applyBorder="1"/>
    <xf numFmtId="165" fontId="124" fillId="0" borderId="0" xfId="25744" applyNumberFormat="1" applyFont="1" applyBorder="1"/>
    <xf numFmtId="165" fontId="124" fillId="0" borderId="89" xfId="25744" applyNumberFormat="1" applyFont="1" applyBorder="1"/>
    <xf numFmtId="165" fontId="124" fillId="0" borderId="0" xfId="25744" applyNumberFormat="1" applyFont="1" applyFill="1" applyBorder="1"/>
    <xf numFmtId="165" fontId="124" fillId="99" borderId="88" xfId="25744" applyNumberFormat="1" applyFont="1" applyFill="1" applyBorder="1"/>
    <xf numFmtId="165" fontId="124" fillId="99" borderId="0" xfId="25744" applyNumberFormat="1" applyFont="1" applyFill="1" applyBorder="1"/>
    <xf numFmtId="165" fontId="124" fillId="99" borderId="89" xfId="25744" applyNumberFormat="1" applyFont="1" applyFill="1" applyBorder="1"/>
    <xf numFmtId="6" fontId="124" fillId="0" borderId="95" xfId="0" applyNumberFormat="1" applyFont="1" applyBorder="1"/>
    <xf numFmtId="165" fontId="126" fillId="0" borderId="106" xfId="25744" applyNumberFormat="1" applyFont="1" applyBorder="1"/>
    <xf numFmtId="165" fontId="126" fillId="0" borderId="79" xfId="25744" applyNumberFormat="1" applyFont="1" applyBorder="1"/>
    <xf numFmtId="165" fontId="126" fillId="0" borderId="107" xfId="25744" applyNumberFormat="1" applyFont="1" applyBorder="1"/>
    <xf numFmtId="6" fontId="124" fillId="0" borderId="108" xfId="0" applyNumberFormat="1" applyFont="1" applyBorder="1"/>
    <xf numFmtId="6" fontId="124" fillId="94" borderId="90" xfId="0" applyNumberFormat="1" applyFont="1" applyFill="1" applyBorder="1"/>
    <xf numFmtId="6" fontId="124" fillId="0" borderId="90" xfId="0" applyNumberFormat="1" applyFont="1" applyBorder="1"/>
    <xf numFmtId="41" fontId="124" fillId="0" borderId="0" xfId="0" applyNumberFormat="1" applyFont="1"/>
    <xf numFmtId="165" fontId="124" fillId="101" borderId="88" xfId="25744" applyNumberFormat="1" applyFont="1" applyFill="1" applyBorder="1"/>
    <xf numFmtId="165" fontId="124" fillId="101" borderId="0" xfId="25744" applyNumberFormat="1" applyFont="1" applyFill="1" applyBorder="1"/>
    <xf numFmtId="165" fontId="124" fillId="101" borderId="89" xfId="25744" applyNumberFormat="1" applyFont="1" applyFill="1" applyBorder="1"/>
    <xf numFmtId="0" fontId="124" fillId="101" borderId="88" xfId="0" applyFont="1" applyFill="1" applyBorder="1"/>
    <xf numFmtId="49" fontId="124" fillId="101" borderId="0" xfId="0" applyNumberFormat="1" applyFont="1" applyFill="1" applyBorder="1" applyAlignment="1">
      <alignment horizontal="center"/>
    </xf>
    <xf numFmtId="49" fontId="124" fillId="101" borderId="89" xfId="0" applyNumberFormat="1" applyFont="1" applyFill="1" applyBorder="1" applyAlignment="1">
      <alignment horizontal="center"/>
    </xf>
    <xf numFmtId="165" fontId="124" fillId="90" borderId="88" xfId="25744" applyNumberFormat="1" applyFont="1" applyFill="1" applyBorder="1"/>
    <xf numFmtId="165" fontId="124" fillId="90" borderId="0" xfId="25744" applyNumberFormat="1" applyFont="1" applyFill="1" applyBorder="1"/>
    <xf numFmtId="165" fontId="124" fillId="90" borderId="89" xfId="25744" applyNumberFormat="1" applyFont="1" applyFill="1" applyBorder="1"/>
    <xf numFmtId="165" fontId="124" fillId="100" borderId="0" xfId="25744" applyNumberFormat="1" applyFont="1" applyFill="1" applyBorder="1"/>
    <xf numFmtId="165" fontId="124" fillId="100" borderId="89" xfId="25744" applyNumberFormat="1" applyFont="1" applyFill="1" applyBorder="1"/>
    <xf numFmtId="165" fontId="124" fillId="100" borderId="105" xfId="25744" applyNumberFormat="1" applyFont="1" applyFill="1" applyBorder="1"/>
    <xf numFmtId="38" fontId="131" fillId="0" borderId="0" xfId="0" applyNumberFormat="1" applyFont="1"/>
    <xf numFmtId="38" fontId="124" fillId="0" borderId="92" xfId="0" applyNumberFormat="1" applyFont="1" applyBorder="1"/>
    <xf numFmtId="38" fontId="124" fillId="0" borderId="93" xfId="0" applyNumberFormat="1" applyFont="1" applyBorder="1"/>
    <xf numFmtId="38" fontId="124" fillId="0" borderId="94" xfId="0" applyNumberFormat="1" applyFont="1" applyBorder="1"/>
    <xf numFmtId="38" fontId="124" fillId="0" borderId="88" xfId="0" applyNumberFormat="1" applyFont="1" applyBorder="1"/>
    <xf numFmtId="38" fontId="124" fillId="0" borderId="0" xfId="0" applyNumberFormat="1" applyFont="1" applyBorder="1"/>
    <xf numFmtId="38" fontId="124" fillId="0" borderId="89" xfId="0" applyNumberFormat="1" applyFont="1" applyBorder="1"/>
    <xf numFmtId="38" fontId="124" fillId="0" borderId="109" xfId="0" applyNumberFormat="1" applyFont="1" applyBorder="1"/>
    <xf numFmtId="38" fontId="124" fillId="0" borderId="110" xfId="0" applyNumberFormat="1" applyFont="1" applyBorder="1"/>
    <xf numFmtId="40" fontId="124" fillId="0" borderId="88" xfId="0" applyNumberFormat="1" applyFont="1" applyBorder="1"/>
    <xf numFmtId="38" fontId="124" fillId="0" borderId="95" xfId="0" applyNumberFormat="1" applyFont="1" applyBorder="1"/>
    <xf numFmtId="38" fontId="124" fillId="0" borderId="45" xfId="0" applyNumberFormat="1" applyFont="1" applyBorder="1"/>
    <xf numFmtId="38" fontId="124" fillId="0" borderId="96" xfId="0" applyNumberFormat="1" applyFont="1" applyBorder="1"/>
    <xf numFmtId="3" fontId="124" fillId="0" borderId="0" xfId="0" applyNumberFormat="1" applyFont="1"/>
    <xf numFmtId="0" fontId="124" fillId="0" borderId="76" xfId="0" applyFont="1" applyBorder="1"/>
    <xf numFmtId="0" fontId="124" fillId="0" borderId="75" xfId="0" applyFont="1" applyBorder="1"/>
    <xf numFmtId="0" fontId="124" fillId="0" borderId="75" xfId="0" applyFont="1" applyBorder="1" applyAlignment="1">
      <alignment horizontal="center"/>
    </xf>
    <xf numFmtId="0" fontId="124" fillId="0" borderId="77" xfId="0" applyFont="1" applyBorder="1"/>
    <xf numFmtId="0" fontId="124" fillId="0" borderId="31" xfId="0" applyFont="1" applyBorder="1"/>
    <xf numFmtId="0" fontId="126" fillId="0" borderId="0" xfId="0" applyFont="1" applyBorder="1" applyAlignment="1">
      <alignment horizontal="center"/>
    </xf>
    <xf numFmtId="0" fontId="124" fillId="0" borderId="11" xfId="0" applyFont="1" applyBorder="1"/>
    <xf numFmtId="0" fontId="124" fillId="0" borderId="50" xfId="0" applyFont="1" applyBorder="1"/>
    <xf numFmtId="0" fontId="124" fillId="0" borderId="85" xfId="0" applyFont="1" applyBorder="1"/>
    <xf numFmtId="0" fontId="124" fillId="0" borderId="85" xfId="0" applyFont="1" applyBorder="1" applyAlignment="1">
      <alignment horizontal="center"/>
    </xf>
    <xf numFmtId="0" fontId="124" fillId="0" borderId="52" xfId="0" applyFont="1" applyBorder="1"/>
    <xf numFmtId="0" fontId="124" fillId="0" borderId="74" xfId="0" applyFont="1" applyBorder="1"/>
    <xf numFmtId="0" fontId="124" fillId="0" borderId="14" xfId="0" applyFont="1" applyBorder="1" applyAlignment="1">
      <alignment horizontal="center"/>
    </xf>
    <xf numFmtId="0" fontId="124" fillId="0" borderId="15" xfId="0" applyFont="1" applyBorder="1" applyAlignment="1">
      <alignment horizontal="center"/>
    </xf>
    <xf numFmtId="0" fontId="124" fillId="0" borderId="13" xfId="0" applyFont="1" applyBorder="1" applyAlignment="1">
      <alignment horizontal="center"/>
    </xf>
    <xf numFmtId="0" fontId="124" fillId="0" borderId="49" xfId="0" applyFont="1" applyBorder="1" applyAlignment="1">
      <alignment horizontal="center"/>
    </xf>
    <xf numFmtId="0" fontId="124" fillId="0" borderId="14" xfId="0" applyFont="1" applyBorder="1"/>
    <xf numFmtId="43" fontId="124" fillId="0" borderId="15" xfId="0" applyNumberFormat="1" applyFont="1" applyBorder="1"/>
    <xf numFmtId="6" fontId="124" fillId="0" borderId="14" xfId="0" applyNumberFormat="1" applyFont="1" applyBorder="1"/>
    <xf numFmtId="43" fontId="124" fillId="0" borderId="14" xfId="0" applyNumberFormat="1" applyFont="1" applyBorder="1"/>
    <xf numFmtId="6" fontId="124" fillId="0" borderId="13" xfId="0" applyNumberFormat="1" applyFont="1" applyBorder="1"/>
    <xf numFmtId="6" fontId="124" fillId="0" borderId="84" xfId="0" applyNumberFormat="1" applyFont="1" applyBorder="1"/>
    <xf numFmtId="166" fontId="124" fillId="0" borderId="84" xfId="0" applyNumberFormat="1" applyFont="1" applyBorder="1"/>
    <xf numFmtId="0" fontId="124" fillId="0" borderId="15" xfId="0" applyFont="1" applyBorder="1"/>
    <xf numFmtId="0" fontId="124" fillId="0" borderId="31" xfId="0" applyFont="1" applyBorder="1" applyAlignment="1">
      <alignment horizontal="center"/>
    </xf>
    <xf numFmtId="0" fontId="124" fillId="0" borderId="50" xfId="0" applyFont="1" applyBorder="1" applyAlignment="1">
      <alignment horizontal="center"/>
    </xf>
    <xf numFmtId="0" fontId="124" fillId="0" borderId="74" xfId="0" applyFont="1" applyBorder="1" applyAlignment="1">
      <alignment horizontal="center"/>
    </xf>
    <xf numFmtId="6" fontId="124" fillId="0" borderId="15" xfId="0" applyNumberFormat="1" applyFont="1" applyBorder="1"/>
    <xf numFmtId="166" fontId="124" fillId="0" borderId="15" xfId="0" applyNumberFormat="1" applyFont="1" applyBorder="1"/>
    <xf numFmtId="6" fontId="126" fillId="0" borderId="84" xfId="0" applyNumberFormat="1" applyFont="1" applyBorder="1"/>
    <xf numFmtId="0" fontId="124" fillId="0" borderId="85"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166" fontId="32" fillId="0" borderId="0" xfId="25295" applyNumberFormat="1" applyFont="1" applyFill="1" applyBorder="1" applyAlignment="1">
      <alignment horizontal="center"/>
    </xf>
    <xf numFmtId="192" fontId="124" fillId="0" borderId="0" xfId="0" applyNumberFormat="1" applyFont="1"/>
    <xf numFmtId="177"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5" fontId="32" fillId="0" borderId="0" xfId="25747" applyNumberFormat="1" applyFont="1" applyAlignment="1">
      <alignment horizontal="center"/>
    </xf>
    <xf numFmtId="0" fontId="132" fillId="0" borderId="0" xfId="0" applyFont="1"/>
    <xf numFmtId="0" fontId="132" fillId="0" borderId="0" xfId="0" applyFont="1" applyBorder="1" applyAlignment="1">
      <alignment horizontal="centerContinuous"/>
    </xf>
    <xf numFmtId="0" fontId="123" fillId="0" borderId="0" xfId="0" applyFont="1" applyBorder="1" applyAlignment="1">
      <alignment horizontal="centerContinuous"/>
    </xf>
    <xf numFmtId="0" fontId="132" fillId="0" borderId="0" xfId="0" applyFont="1" applyFill="1" applyAlignment="1">
      <alignment horizontal="center" wrapText="1"/>
    </xf>
    <xf numFmtId="0" fontId="132" fillId="0" borderId="0" xfId="0" applyFont="1" applyAlignment="1">
      <alignment horizontal="center" wrapText="1"/>
    </xf>
    <xf numFmtId="0" fontId="32" fillId="0" borderId="0" xfId="0" applyFont="1"/>
    <xf numFmtId="185" fontId="32" fillId="0" borderId="0" xfId="25747" applyNumberFormat="1" applyFont="1"/>
    <xf numFmtId="0" fontId="32" fillId="0" borderId="0" xfId="0" applyFont="1" applyFill="1"/>
    <xf numFmtId="191" fontId="32" fillId="0" borderId="0" xfId="0" applyNumberFormat="1" applyFont="1" applyFill="1"/>
    <xf numFmtId="165" fontId="32" fillId="0" borderId="0" xfId="0" applyNumberFormat="1" applyFont="1"/>
    <xf numFmtId="185" fontId="124" fillId="0" borderId="0" xfId="0" applyNumberFormat="1" applyFont="1" applyFill="1"/>
    <xf numFmtId="185" fontId="32" fillId="0" borderId="0" xfId="25747" applyNumberFormat="1" applyFont="1" applyBorder="1"/>
    <xf numFmtId="3" fontId="32" fillId="0" borderId="0" xfId="0" applyNumberFormat="1" applyFont="1"/>
    <xf numFmtId="0" fontId="132" fillId="0" borderId="79" xfId="0" applyFont="1" applyBorder="1"/>
    <xf numFmtId="0" fontId="32" fillId="0" borderId="79" xfId="0" applyFont="1" applyBorder="1"/>
    <xf numFmtId="0" fontId="32" fillId="0" borderId="79" xfId="0" applyFont="1" applyFill="1" applyBorder="1"/>
    <xf numFmtId="165" fontId="32" fillId="0" borderId="79" xfId="0" applyNumberFormat="1" applyFont="1" applyBorder="1"/>
    <xf numFmtId="185" fontId="32" fillId="0" borderId="79" xfId="25747" applyNumberFormat="1" applyFont="1" applyBorder="1"/>
    <xf numFmtId="185" fontId="124" fillId="0" borderId="79" xfId="0" applyNumberFormat="1" applyFont="1" applyFill="1" applyBorder="1"/>
    <xf numFmtId="165" fontId="32" fillId="0" borderId="0" xfId="0" applyNumberFormat="1" applyFont="1" applyBorder="1"/>
    <xf numFmtId="165" fontId="32" fillId="0" borderId="78" xfId="0" applyNumberFormat="1" applyFont="1" applyBorder="1"/>
    <xf numFmtId="185" fontId="32" fillId="0" borderId="78" xfId="25747" applyNumberFormat="1" applyFont="1" applyBorder="1"/>
    <xf numFmtId="185" fontId="124" fillId="0" borderId="0" xfId="25747" applyNumberFormat="1" applyFont="1"/>
    <xf numFmtId="185" fontId="124" fillId="0" borderId="0" xfId="25747" applyNumberFormat="1" applyFont="1" applyAlignment="1">
      <alignment horizontal="center"/>
    </xf>
    <xf numFmtId="196" fontId="124" fillId="0" borderId="85" xfId="0" applyNumberFormat="1" applyFont="1" applyBorder="1" applyAlignment="1">
      <alignment horizontal="center"/>
    </xf>
    <xf numFmtId="3" fontId="124" fillId="0" borderId="85" xfId="0" applyNumberFormat="1" applyFont="1" applyBorder="1" applyAlignment="1">
      <alignment horizontal="center"/>
    </xf>
    <xf numFmtId="165" fontId="124" fillId="0" borderId="0" xfId="25768" applyNumberFormat="1" applyFont="1" applyAlignment="1">
      <alignment horizontal="center"/>
    </xf>
    <xf numFmtId="3" fontId="124" fillId="0" borderId="0" xfId="0" applyNumberFormat="1" applyFont="1" applyAlignment="1">
      <alignment horizontal="center"/>
    </xf>
    <xf numFmtId="3" fontId="124" fillId="0" borderId="30" xfId="0" applyNumberFormat="1" applyFont="1" applyBorder="1" applyAlignment="1">
      <alignment horizontal="center"/>
    </xf>
    <xf numFmtId="0" fontId="124" fillId="0" borderId="13" xfId="0" applyFont="1" applyBorder="1"/>
    <xf numFmtId="0" fontId="124" fillId="0" borderId="13" xfId="0" applyFont="1" applyFill="1" applyBorder="1"/>
    <xf numFmtId="43" fontId="124" fillId="0" borderId="13"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1" fillId="0" borderId="0" xfId="0" applyFont="1" applyAlignment="1">
      <alignment horizontal="left"/>
    </xf>
    <xf numFmtId="6" fontId="124" fillId="0" borderId="0" xfId="0" applyNumberFormat="1" applyFont="1" applyFill="1" applyAlignment="1">
      <alignment horizontal="center"/>
    </xf>
    <xf numFmtId="165" fontId="124" fillId="0" borderId="0" xfId="25744" applyNumberFormat="1" applyFont="1" applyAlignment="1">
      <alignment horizontal="center"/>
    </xf>
    <xf numFmtId="6" fontId="124" fillId="0" borderId="0" xfId="25747" applyNumberFormat="1" applyFont="1"/>
    <xf numFmtId="6" fontId="124" fillId="0" borderId="85"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4" xfId="0" applyNumberFormat="1" applyFont="1" applyBorder="1"/>
    <xf numFmtId="6" fontId="126" fillId="0" borderId="104" xfId="0" applyNumberFormat="1" applyFont="1" applyBorder="1"/>
    <xf numFmtId="6" fontId="126" fillId="0" borderId="13" xfId="0" applyNumberFormat="1" applyFont="1" applyBorder="1"/>
    <xf numFmtId="0" fontId="124" fillId="0" borderId="0" xfId="0" applyFont="1" applyAlignment="1">
      <alignment horizontal="left"/>
    </xf>
    <xf numFmtId="0" fontId="126" fillId="0" borderId="85" xfId="0" applyFont="1" applyBorder="1" applyAlignment="1">
      <alignment horizontal="center"/>
    </xf>
    <xf numFmtId="0" fontId="126" fillId="0" borderId="85"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7"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8" fontId="32" fillId="0" borderId="0" xfId="25743" applyNumberFormat="1" applyFont="1" applyFill="1" applyAlignment="1">
      <alignment horizontal="center"/>
    </xf>
    <xf numFmtId="37" fontId="123" fillId="0" borderId="78" xfId="25743" applyFont="1" applyFill="1" applyBorder="1" applyAlignment="1">
      <alignment horizontal="center"/>
    </xf>
    <xf numFmtId="37" fontId="32" fillId="0" borderId="0" xfId="25743" applyFont="1" applyFill="1"/>
    <xf numFmtId="186" fontId="32" fillId="0" borderId="0" xfId="24219" applyNumberFormat="1" applyFont="1"/>
    <xf numFmtId="167"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5" xfId="0" applyNumberFormat="1" applyFont="1" applyBorder="1"/>
    <xf numFmtId="0" fontId="124" fillId="0" borderId="45" xfId="0" applyFont="1" applyBorder="1"/>
    <xf numFmtId="10" fontId="124" fillId="0" borderId="45" xfId="0" applyNumberFormat="1" applyFont="1" applyBorder="1"/>
    <xf numFmtId="192" fontId="124" fillId="0" borderId="45" xfId="0" applyNumberFormat="1" applyFont="1" applyBorder="1"/>
    <xf numFmtId="8" fontId="127" fillId="0" borderId="0" xfId="0" applyNumberFormat="1" applyFont="1"/>
    <xf numFmtId="8" fontId="126" fillId="0" borderId="78"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6"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5" xfId="0" applyNumberFormat="1" applyFont="1" applyBorder="1"/>
    <xf numFmtId="8" fontId="124" fillId="0" borderId="85" xfId="0" applyNumberFormat="1" applyFont="1" applyBorder="1"/>
    <xf numFmtId="192" fontId="124" fillId="0" borderId="85" xfId="0" applyNumberFormat="1" applyFont="1" applyBorder="1"/>
    <xf numFmtId="4" fontId="124" fillId="0" borderId="85" xfId="0" applyNumberFormat="1" applyFont="1" applyBorder="1"/>
    <xf numFmtId="4" fontId="124" fillId="0" borderId="30" xfId="0" applyNumberFormat="1" applyFont="1" applyBorder="1"/>
    <xf numFmtId="44" fontId="124" fillId="0" borderId="0" xfId="0" applyNumberFormat="1" applyFont="1"/>
    <xf numFmtId="0" fontId="124" fillId="0" borderId="45" xfId="0" applyFont="1" applyBorder="1" applyAlignment="1">
      <alignment horizontal="center"/>
    </xf>
    <xf numFmtId="0" fontId="126" fillId="0" borderId="45" xfId="0" applyFont="1" applyFill="1" applyBorder="1" applyAlignment="1">
      <alignment horizontal="center"/>
    </xf>
    <xf numFmtId="165" fontId="124" fillId="0" borderId="0" xfId="25744" applyNumberFormat="1" applyFont="1"/>
    <xf numFmtId="165" fontId="124" fillId="0" borderId="85" xfId="25744" applyNumberFormat="1" applyFont="1" applyBorder="1"/>
    <xf numFmtId="185" fontId="124" fillId="0" borderId="85" xfId="25747" applyNumberFormat="1" applyFont="1" applyBorder="1"/>
    <xf numFmtId="185" fontId="126" fillId="0" borderId="0" xfId="25747" applyNumberFormat="1" applyFont="1"/>
    <xf numFmtId="185" fontId="126" fillId="0" borderId="93" xfId="25747" applyNumberFormat="1" applyFont="1" applyBorder="1"/>
    <xf numFmtId="185" fontId="126" fillId="0" borderId="13" xfId="0" applyNumberFormat="1" applyFont="1" applyBorder="1"/>
    <xf numFmtId="0" fontId="133" fillId="0" borderId="0" xfId="0" applyFont="1" applyAlignment="1">
      <alignment horizontal="center"/>
    </xf>
    <xf numFmtId="3" fontId="129" fillId="0" borderId="0" xfId="0" applyNumberFormat="1" applyFont="1"/>
    <xf numFmtId="3" fontId="129" fillId="0" borderId="0" xfId="0" applyNumberFormat="1" applyFont="1" applyBorder="1"/>
    <xf numFmtId="3" fontId="129" fillId="0" borderId="85" xfId="0" applyNumberFormat="1" applyFont="1" applyBorder="1"/>
    <xf numFmtId="189" fontId="129" fillId="0" borderId="79" xfId="0" applyNumberFormat="1" applyFont="1" applyBorder="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5" xfId="0" applyFont="1" applyBorder="1" applyAlignment="1">
      <alignment vertical="center"/>
    </xf>
    <xf numFmtId="0" fontId="126" fillId="0" borderId="85" xfId="0" applyFont="1" applyBorder="1" applyAlignment="1">
      <alignment horizontal="center" vertical="center"/>
    </xf>
    <xf numFmtId="0" fontId="124" fillId="92" borderId="0" xfId="0" quotePrefix="1" applyFont="1" applyFill="1" applyAlignment="1">
      <alignment vertical="center"/>
    </xf>
    <xf numFmtId="6" fontId="124" fillId="92" borderId="0" xfId="0" quotePrefix="1" applyNumberFormat="1" applyFont="1" applyFill="1" applyAlignment="1">
      <alignment horizontal="center" vertical="center"/>
    </xf>
    <xf numFmtId="0" fontId="124" fillId="92" borderId="0" xfId="0" applyFont="1" applyFill="1" applyAlignment="1">
      <alignment horizontal="center" vertical="center"/>
    </xf>
    <xf numFmtId="6" fontId="124" fillId="92" borderId="30" xfId="0" quotePrefix="1" applyNumberFormat="1" applyFont="1" applyFill="1" applyBorder="1" applyAlignment="1">
      <alignment vertical="center"/>
    </xf>
    <xf numFmtId="0" fontId="124" fillId="92" borderId="30" xfId="0" quotePrefix="1" applyFont="1" applyFill="1" applyBorder="1" applyAlignment="1">
      <alignment vertical="center"/>
    </xf>
    <xf numFmtId="189" fontId="124" fillId="92" borderId="30" xfId="0" quotePrefix="1" applyNumberFormat="1" applyFont="1" applyFill="1" applyBorder="1" applyAlignment="1">
      <alignment horizontal="center" vertical="center"/>
    </xf>
    <xf numFmtId="189" fontId="124" fillId="92" borderId="30" xfId="0" quotePrefix="1" applyNumberFormat="1" applyFont="1" applyFill="1" applyBorder="1" applyAlignment="1">
      <alignment vertical="center"/>
    </xf>
    <xf numFmtId="9" fontId="124" fillId="92" borderId="30"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89" fontId="124" fillId="0" borderId="0" xfId="0" quotePrefix="1" applyNumberFormat="1" applyFont="1" applyAlignment="1">
      <alignment horizontal="center" vertical="center"/>
    </xf>
    <xf numFmtId="189"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2" borderId="0" xfId="0" applyNumberFormat="1" applyFont="1" applyFill="1" applyAlignment="1">
      <alignment vertical="center"/>
    </xf>
    <xf numFmtId="189" fontId="124" fillId="92" borderId="0" xfId="0" quotePrefix="1" applyNumberFormat="1" applyFont="1" applyFill="1" applyAlignment="1">
      <alignment horizontal="center" vertical="center"/>
    </xf>
    <xf numFmtId="189" fontId="124" fillId="92" borderId="0" xfId="0" quotePrefix="1" applyNumberFormat="1" applyFont="1" applyFill="1" applyAlignment="1">
      <alignment vertical="center"/>
    </xf>
    <xf numFmtId="6" fontId="124" fillId="92" borderId="0" xfId="0" quotePrefix="1" applyNumberFormat="1" applyFont="1" applyFill="1" applyAlignment="1">
      <alignment vertical="center"/>
    </xf>
    <xf numFmtId="9" fontId="124" fillId="92"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5" xfId="0" applyNumberFormat="1" applyFont="1" applyBorder="1"/>
    <xf numFmtId="38" fontId="136" fillId="0" borderId="0" xfId="0" applyNumberFormat="1" applyFont="1"/>
    <xf numFmtId="38" fontId="136" fillId="0" borderId="13" xfId="0" applyNumberFormat="1" applyFont="1" applyBorder="1"/>
    <xf numFmtId="189" fontId="129" fillId="0" borderId="0" xfId="0" applyNumberFormat="1" applyFont="1"/>
    <xf numFmtId="189" fontId="136"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5" xfId="0" applyNumberFormat="1" applyFont="1" applyFill="1" applyBorder="1" applyAlignment="1">
      <alignment horizontal="center"/>
    </xf>
    <xf numFmtId="0" fontId="126" fillId="0" borderId="75" xfId="0" applyFont="1" applyFill="1" applyBorder="1"/>
    <xf numFmtId="0" fontId="126" fillId="0" borderId="75" xfId="0" applyFont="1" applyFill="1" applyBorder="1" applyAlignment="1">
      <alignment horizontal="center"/>
    </xf>
    <xf numFmtId="0" fontId="124" fillId="0" borderId="75" xfId="0" applyFont="1" applyFill="1" applyBorder="1"/>
    <xf numFmtId="10" fontId="124" fillId="0" borderId="77" xfId="25795" applyNumberFormat="1" applyFont="1" applyFill="1" applyBorder="1" applyAlignment="1">
      <alignment horizontal="center"/>
    </xf>
    <xf numFmtId="43" fontId="124" fillId="0" borderId="75" xfId="25744" applyFont="1" applyFill="1" applyBorder="1"/>
    <xf numFmtId="43" fontId="124" fillId="0" borderId="74"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4" xfId="25744" applyFont="1" applyFill="1" applyBorder="1"/>
    <xf numFmtId="49" fontId="124" fillId="0" borderId="85" xfId="0" quotePrefix="1" applyNumberFormat="1" applyFont="1" applyFill="1" applyBorder="1" applyAlignment="1">
      <alignment horizontal="center"/>
    </xf>
    <xf numFmtId="49" fontId="124" fillId="0" borderId="85" xfId="0" applyNumberFormat="1" applyFont="1" applyFill="1" applyBorder="1" applyAlignment="1">
      <alignment horizontal="center"/>
    </xf>
    <xf numFmtId="0" fontId="124" fillId="0" borderId="85" xfId="0" applyFont="1" applyFill="1" applyBorder="1"/>
    <xf numFmtId="0" fontId="124" fillId="0" borderId="85" xfId="0" applyFont="1" applyFill="1" applyBorder="1" applyAlignment="1">
      <alignment horizontal="center"/>
    </xf>
    <xf numFmtId="0" fontId="124" fillId="0" borderId="75" xfId="0" applyFont="1" applyFill="1" applyBorder="1" applyAlignment="1">
      <alignment horizontal="center"/>
    </xf>
    <xf numFmtId="43" fontId="124" fillId="0" borderId="13" xfId="25744" applyFont="1" applyFill="1" applyBorder="1"/>
    <xf numFmtId="49" fontId="124" fillId="0" borderId="0" xfId="0" applyNumberFormat="1" applyFont="1" applyFill="1" applyBorder="1"/>
    <xf numFmtId="10" fontId="124" fillId="0" borderId="52" xfId="25795" applyNumberFormat="1" applyFont="1" applyFill="1" applyBorder="1" applyAlignment="1">
      <alignment horizontal="center"/>
    </xf>
    <xf numFmtId="43" fontId="124" fillId="0" borderId="85" xfId="25744" applyFont="1" applyFill="1" applyBorder="1"/>
    <xf numFmtId="49" fontId="124" fillId="0" borderId="49" xfId="25744" applyNumberFormat="1" applyFont="1" applyFill="1" applyBorder="1" applyAlignment="1">
      <alignment horizontal="center" vertical="center"/>
    </xf>
    <xf numFmtId="0" fontId="124" fillId="0" borderId="49" xfId="0" applyFont="1" applyFill="1" applyBorder="1"/>
    <xf numFmtId="0" fontId="124" fillId="0" borderId="49" xfId="0" applyFont="1" applyFill="1" applyBorder="1" applyAlignment="1">
      <alignment horizontal="center"/>
    </xf>
    <xf numFmtId="49" fontId="124" fillId="0" borderId="49" xfId="0" applyNumberFormat="1" applyFont="1" applyFill="1" applyBorder="1" applyAlignment="1">
      <alignment horizontal="center"/>
    </xf>
    <xf numFmtId="10" fontId="124" fillId="0" borderId="49" xfId="25795" applyNumberFormat="1" applyFont="1" applyFill="1" applyBorder="1" applyAlignment="1">
      <alignment horizontal="center"/>
    </xf>
    <xf numFmtId="43" fontId="124" fillId="0" borderId="49" xfId="25744" applyFont="1" applyFill="1" applyBorder="1"/>
    <xf numFmtId="49" fontId="124" fillId="0" borderId="75" xfId="25744" applyNumberFormat="1" applyFont="1" applyFill="1" applyBorder="1" applyAlignment="1">
      <alignment horizontal="center" vertical="center"/>
    </xf>
    <xf numFmtId="10" fontId="124" fillId="0" borderId="75"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5" xfId="25744" applyNumberFormat="1" applyFont="1" applyFill="1" applyBorder="1" applyAlignment="1">
      <alignment horizontal="center" vertical="center"/>
    </xf>
    <xf numFmtId="10" fontId="124" fillId="0" borderId="85" xfId="25795" applyNumberFormat="1" applyFont="1" applyFill="1" applyBorder="1" applyAlignment="1">
      <alignment horizontal="center"/>
    </xf>
    <xf numFmtId="49" fontId="124" fillId="0" borderId="49" xfId="0" applyNumberFormat="1" applyFont="1" applyBorder="1" applyAlignment="1">
      <alignment horizontal="center"/>
    </xf>
    <xf numFmtId="10" fontId="124" fillId="0" borderId="49" xfId="25795" applyNumberFormat="1" applyFont="1" applyBorder="1" applyAlignment="1">
      <alignment horizontal="center"/>
    </xf>
    <xf numFmtId="43" fontId="124" fillId="0" borderId="49"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4"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0"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2" fillId="0" borderId="0" xfId="25766" applyNumberFormat="1" applyFont="1" applyFill="1" applyAlignment="1">
      <alignment horizontal="left"/>
    </xf>
    <xf numFmtId="49" fontId="132" fillId="0" borderId="0" xfId="25766" applyNumberFormat="1" applyFont="1" applyFill="1"/>
    <xf numFmtId="49" fontId="132" fillId="0" borderId="0" xfId="25766" applyNumberFormat="1" applyFont="1" applyFill="1" applyAlignment="1">
      <alignment horizontal="center"/>
    </xf>
    <xf numFmtId="0" fontId="126" fillId="0" borderId="85" xfId="25767" applyFont="1" applyBorder="1"/>
    <xf numFmtId="0" fontId="32" fillId="88" borderId="0" xfId="25766" applyFont="1" applyFill="1"/>
    <xf numFmtId="0" fontId="123" fillId="88"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5"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5" xfId="173" applyFont="1" applyFill="1" applyBorder="1"/>
    <xf numFmtId="43" fontId="32" fillId="0" borderId="85" xfId="306" applyFont="1" applyFill="1" applyBorder="1"/>
    <xf numFmtId="43" fontId="32" fillId="0" borderId="85" xfId="300" applyFont="1" applyFill="1" applyBorder="1"/>
    <xf numFmtId="43" fontId="32" fillId="0" borderId="85" xfId="289" applyFont="1" applyFill="1" applyBorder="1"/>
    <xf numFmtId="43" fontId="32" fillId="0" borderId="85" xfId="291" applyFont="1" applyFill="1" applyBorder="1"/>
    <xf numFmtId="43" fontId="32" fillId="0" borderId="85" xfId="288" applyFont="1" applyFill="1" applyBorder="1"/>
    <xf numFmtId="43" fontId="32" fillId="0" borderId="85" xfId="290" applyFont="1" applyFill="1" applyBorder="1"/>
    <xf numFmtId="43" fontId="32" fillId="0" borderId="85" xfId="282" applyFont="1" applyFill="1" applyBorder="1"/>
    <xf numFmtId="43" fontId="124" fillId="0" borderId="85" xfId="5" applyFont="1" applyFill="1" applyBorder="1"/>
    <xf numFmtId="43" fontId="32" fillId="0" borderId="85" xfId="174" applyFont="1" applyFill="1" applyBorder="1"/>
    <xf numFmtId="43" fontId="32" fillId="0" borderId="85" xfId="314" applyFont="1" applyFill="1" applyBorder="1"/>
    <xf numFmtId="43" fontId="32" fillId="0" borderId="0" xfId="173" applyNumberFormat="1" applyFont="1" applyFill="1"/>
    <xf numFmtId="43" fontId="32" fillId="0" borderId="49" xfId="173" applyNumberFormat="1" applyFont="1" applyFill="1" applyBorder="1"/>
    <xf numFmtId="43" fontId="32" fillId="0" borderId="85"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5" xfId="306" applyFont="1" applyFill="1" applyBorder="1"/>
    <xf numFmtId="43" fontId="32" fillId="0" borderId="75" xfId="300" applyFont="1" applyFill="1" applyBorder="1"/>
    <xf numFmtId="43" fontId="32" fillId="0" borderId="75" xfId="289" applyFont="1" applyFill="1" applyBorder="1"/>
    <xf numFmtId="43" fontId="32" fillId="0" borderId="75" xfId="291" applyFont="1" applyFill="1" applyBorder="1"/>
    <xf numFmtId="43" fontId="32" fillId="0" borderId="75" xfId="288" applyFont="1" applyFill="1" applyBorder="1"/>
    <xf numFmtId="43" fontId="32" fillId="0" borderId="75" xfId="290" applyFont="1" applyFill="1" applyBorder="1"/>
    <xf numFmtId="43" fontId="32" fillId="0" borderId="75" xfId="282" applyFont="1" applyFill="1" applyBorder="1"/>
    <xf numFmtId="43" fontId="124" fillId="0" borderId="75" xfId="5" applyFont="1" applyFill="1" applyBorder="1"/>
    <xf numFmtId="43" fontId="32" fillId="0" borderId="75" xfId="174" applyFont="1" applyFill="1" applyBorder="1"/>
    <xf numFmtId="43" fontId="32" fillId="0" borderId="75"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5"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4"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78"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7"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89" fontId="124" fillId="0" borderId="0" xfId="25767" applyNumberFormat="1" applyFont="1"/>
    <xf numFmtId="43" fontId="124" fillId="0" borderId="0" xfId="25746" applyFont="1"/>
    <xf numFmtId="165" fontId="124" fillId="0" borderId="0" xfId="25746" applyNumberFormat="1" applyFont="1"/>
    <xf numFmtId="43" fontId="32" fillId="0" borderId="0" xfId="25766" applyNumberFormat="1" applyFont="1" applyFill="1"/>
    <xf numFmtId="0" fontId="123" fillId="95" borderId="0" xfId="25766" applyFont="1" applyFill="1"/>
    <xf numFmtId="10" fontId="126" fillId="95" borderId="0" xfId="25767" applyNumberFormat="1" applyFont="1" applyFill="1"/>
    <xf numFmtId="0" fontId="126" fillId="0" borderId="0" xfId="0" applyFont="1"/>
    <xf numFmtId="6" fontId="126" fillId="0" borderId="79" xfId="0" applyNumberFormat="1" applyFont="1" applyBorder="1" applyAlignment="1">
      <alignment horizontal="center"/>
    </xf>
    <xf numFmtId="43" fontId="32" fillId="0" borderId="0" xfId="0" applyNumberFormat="1" applyFont="1" applyFill="1"/>
    <xf numFmtId="195"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1" xfId="0" applyNumberFormat="1" applyFont="1" applyFill="1" applyBorder="1"/>
    <xf numFmtId="37" fontId="18" fillId="0" borderId="0" xfId="25797" applyFont="1"/>
    <xf numFmtId="37" fontId="18" fillId="0" borderId="0" xfId="25797" applyFont="1" applyFill="1"/>
    <xf numFmtId="197" fontId="18" fillId="0" borderId="0" xfId="25797" applyNumberFormat="1" applyFont="1" applyFill="1"/>
    <xf numFmtId="37" fontId="18" fillId="0" borderId="85"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96" xfId="25797" applyFont="1" applyFill="1" applyBorder="1"/>
    <xf numFmtId="37" fontId="18" fillId="0" borderId="45" xfId="25797" applyFont="1" applyFill="1" applyBorder="1"/>
    <xf numFmtId="37" fontId="18" fillId="0" borderId="95" xfId="25797" applyFont="1" applyFill="1" applyBorder="1"/>
    <xf numFmtId="10" fontId="23" fillId="0" borderId="45" xfId="25797" applyNumberFormat="1" applyFont="1" applyFill="1" applyBorder="1" applyProtection="1">
      <protection locked="0"/>
    </xf>
    <xf numFmtId="37" fontId="18" fillId="0" borderId="96" xfId="25797" applyFont="1" applyBorder="1"/>
    <xf numFmtId="37" fontId="18" fillId="0" borderId="45" xfId="25797" applyFont="1" applyBorder="1"/>
    <xf numFmtId="37" fontId="18" fillId="0" borderId="95" xfId="25797" applyFont="1" applyBorder="1"/>
    <xf numFmtId="37" fontId="18" fillId="0" borderId="89" xfId="25797" applyFont="1" applyFill="1" applyBorder="1"/>
    <xf numFmtId="37" fontId="18" fillId="0" borderId="0" xfId="25797" applyFont="1" applyFill="1" applyBorder="1"/>
    <xf numFmtId="37" fontId="18" fillId="0" borderId="88" xfId="25797" applyFont="1" applyFill="1" applyBorder="1"/>
    <xf numFmtId="10" fontId="18" fillId="0" borderId="0" xfId="25797" applyNumberFormat="1" applyFont="1" applyFill="1" applyBorder="1" applyAlignment="1" applyProtection="1">
      <alignment horizontal="left"/>
    </xf>
    <xf numFmtId="37" fontId="18" fillId="0" borderId="89" xfId="25797" applyFont="1" applyBorder="1"/>
    <xf numFmtId="37" fontId="18" fillId="0" borderId="0" xfId="25797" applyFont="1" applyBorder="1"/>
    <xf numFmtId="37" fontId="18" fillId="0" borderId="88" xfId="25797" applyFont="1" applyBorder="1"/>
    <xf numFmtId="10" fontId="18" fillId="0" borderId="89"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5" xfId="25797" applyNumberFormat="1" applyFont="1" applyFill="1" applyBorder="1" applyProtection="1"/>
    <xf numFmtId="10" fontId="18" fillId="0" borderId="85" xfId="25797" applyNumberFormat="1" applyFont="1" applyFill="1" applyBorder="1" applyProtection="1"/>
    <xf numFmtId="165" fontId="18" fillId="0" borderId="105" xfId="25768" applyNumberFormat="1" applyFont="1" applyFill="1" applyBorder="1" applyProtection="1"/>
    <xf numFmtId="165" fontId="18" fillId="0" borderId="85" xfId="25768" applyNumberFormat="1" applyFont="1" applyFill="1" applyBorder="1" applyProtection="1"/>
    <xf numFmtId="10" fontId="18" fillId="0" borderId="89"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5" fontId="18" fillId="0" borderId="89" xfId="25768" applyNumberFormat="1" applyFont="1" applyFill="1" applyBorder="1"/>
    <xf numFmtId="165" fontId="18" fillId="0" borderId="0" xfId="25768" applyNumberFormat="1" applyFont="1" applyFill="1" applyBorder="1"/>
    <xf numFmtId="10" fontId="18" fillId="0" borderId="89"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88" xfId="25797" applyNumberFormat="1" applyFont="1" applyBorder="1" applyAlignment="1" applyProtection="1">
      <alignment horizontal="left"/>
    </xf>
    <xf numFmtId="165" fontId="18" fillId="0" borderId="0" xfId="25768" applyNumberFormat="1" applyFont="1" applyFill="1" applyBorder="1" applyProtection="1"/>
    <xf numFmtId="165" fontId="18" fillId="0" borderId="0" xfId="25768" applyNumberFormat="1" applyFont="1" applyFill="1" applyBorder="1" applyAlignment="1" applyProtection="1">
      <alignment horizontal="fill"/>
    </xf>
    <xf numFmtId="10" fontId="18" fillId="0" borderId="88" xfId="25797" applyNumberFormat="1" applyFont="1" applyFill="1" applyBorder="1" applyAlignment="1" applyProtection="1">
      <alignment horizontal="left"/>
    </xf>
    <xf numFmtId="165" fontId="23" fillId="0" borderId="85" xfId="25768" applyNumberFormat="1" applyFont="1" applyFill="1" applyBorder="1" applyProtection="1">
      <protection locked="0"/>
    </xf>
    <xf numFmtId="198" fontId="18" fillId="0" borderId="0" xfId="25797" applyNumberFormat="1" applyFont="1" applyFill="1" applyBorder="1" applyProtection="1"/>
    <xf numFmtId="10" fontId="18" fillId="0" borderId="105" xfId="25797" applyNumberFormat="1" applyFont="1" applyBorder="1" applyProtection="1"/>
    <xf numFmtId="10" fontId="18" fillId="0" borderId="85" xfId="25797" applyNumberFormat="1" applyFont="1" applyBorder="1" applyProtection="1"/>
    <xf numFmtId="10" fontId="18" fillId="0" borderId="0" xfId="25750" applyNumberFormat="1" applyFont="1" applyFill="1" applyBorder="1"/>
    <xf numFmtId="165" fontId="23" fillId="0" borderId="0" xfId="25768" applyNumberFormat="1" applyFont="1" applyFill="1" applyBorder="1" applyProtection="1">
      <protection locked="0"/>
    </xf>
    <xf numFmtId="39" fontId="18" fillId="0" borderId="0" xfId="25797" applyNumberFormat="1" applyFont="1"/>
    <xf numFmtId="10" fontId="18" fillId="0" borderId="89" xfId="25797" applyNumberFormat="1" applyFont="1" applyFill="1" applyBorder="1" applyProtection="1"/>
    <xf numFmtId="165" fontId="18" fillId="0" borderId="89" xfId="25768" applyNumberFormat="1" applyFont="1" applyFill="1" applyBorder="1" applyAlignment="1" applyProtection="1">
      <alignment horizontal="fill"/>
    </xf>
    <xf numFmtId="10" fontId="18" fillId="0" borderId="105" xfId="25797" applyNumberFormat="1" applyFont="1" applyFill="1" applyBorder="1" applyAlignment="1" applyProtection="1">
      <alignment horizontal="center"/>
    </xf>
    <xf numFmtId="10" fontId="18" fillId="0" borderId="85"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5" fontId="18" fillId="0" borderId="89" xfId="25768" applyNumberFormat="1" applyFont="1" applyFill="1" applyBorder="1" applyProtection="1"/>
    <xf numFmtId="37" fontId="18" fillId="0" borderId="89" xfId="25797" applyFont="1" applyFill="1" applyBorder="1" applyAlignment="1">
      <alignment horizontal="center"/>
    </xf>
    <xf numFmtId="199" fontId="18" fillId="0" borderId="0" xfId="25797" applyNumberFormat="1" applyFont="1" applyFill="1" applyBorder="1" applyAlignment="1" applyProtection="1">
      <alignment horizontal="center"/>
    </xf>
    <xf numFmtId="165" fontId="18" fillId="0" borderId="85" xfId="25768" applyNumberFormat="1" applyFont="1" applyFill="1" applyBorder="1" applyAlignment="1" applyProtection="1">
      <alignment horizontal="center"/>
    </xf>
    <xf numFmtId="165"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5" xfId="25797" applyNumberFormat="1" applyFont="1" applyBorder="1" applyAlignment="1" applyProtection="1">
      <alignment horizontal="center"/>
    </xf>
    <xf numFmtId="10" fontId="18" fillId="0" borderId="85" xfId="25797" applyNumberFormat="1" applyFont="1" applyBorder="1" applyAlignment="1" applyProtection="1">
      <alignment horizontal="center"/>
    </xf>
    <xf numFmtId="37" fontId="18" fillId="0" borderId="89" xfId="25797" applyFont="1" applyFill="1" applyBorder="1" applyAlignment="1">
      <alignment horizontal="centerContinuous"/>
    </xf>
    <xf numFmtId="37" fontId="18" fillId="0" borderId="0" xfId="25797" applyFont="1" applyFill="1" applyBorder="1" applyAlignment="1">
      <alignment horizontal="centerContinuous"/>
    </xf>
    <xf numFmtId="199" fontId="18" fillId="0" borderId="88" xfId="25797" applyNumberFormat="1" applyFont="1" applyFill="1" applyBorder="1" applyAlignment="1" applyProtection="1">
      <alignment horizontal="centerContinuous"/>
    </xf>
    <xf numFmtId="165" fontId="18" fillId="0" borderId="89" xfId="25768" applyNumberFormat="1" applyFont="1" applyFill="1" applyBorder="1" applyAlignment="1">
      <alignment horizontal="centerContinuous"/>
    </xf>
    <xf numFmtId="165" fontId="18" fillId="0" borderId="0" xfId="25768" applyNumberFormat="1" applyFont="1" applyFill="1" applyBorder="1" applyAlignment="1">
      <alignment horizontal="centerContinuous"/>
    </xf>
    <xf numFmtId="199" fontId="18" fillId="0" borderId="0" xfId="25797" applyNumberFormat="1" applyFont="1" applyFill="1" applyBorder="1" applyAlignment="1" applyProtection="1">
      <alignment horizontal="centerContinuous"/>
    </xf>
    <xf numFmtId="37" fontId="18" fillId="0" borderId="89" xfId="25797" applyFont="1" applyBorder="1" applyAlignment="1">
      <alignment horizontal="centerContinuous"/>
    </xf>
    <xf numFmtId="37" fontId="18" fillId="0" borderId="0" xfId="25797" applyFont="1" applyBorder="1" applyAlignment="1">
      <alignment horizontal="centerContinuous"/>
    </xf>
    <xf numFmtId="199" fontId="23" fillId="0" borderId="88" xfId="25797" applyNumberFormat="1" applyFont="1" applyBorder="1" applyAlignment="1" applyProtection="1">
      <alignment horizontal="centerContinuous"/>
      <protection locked="0"/>
    </xf>
    <xf numFmtId="10" fontId="18" fillId="0" borderId="88"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88" xfId="25797" applyNumberFormat="1" applyFont="1" applyBorder="1" applyAlignment="1" applyProtection="1">
      <alignment horizontal="centerContinuous"/>
    </xf>
    <xf numFmtId="37" fontId="18" fillId="0" borderId="94" xfId="25797" applyFont="1" applyFill="1" applyBorder="1"/>
    <xf numFmtId="37" fontId="18" fillId="0" borderId="93" xfId="25797" applyFont="1" applyFill="1" applyBorder="1"/>
    <xf numFmtId="37" fontId="18" fillId="0" borderId="92" xfId="25797" applyFont="1" applyFill="1" applyBorder="1"/>
    <xf numFmtId="165" fontId="18" fillId="0" borderId="94" xfId="25768" applyNumberFormat="1" applyFont="1" applyFill="1" applyBorder="1"/>
    <xf numFmtId="165" fontId="18" fillId="0" borderId="93" xfId="25768" applyNumberFormat="1" applyFont="1" applyFill="1" applyBorder="1"/>
    <xf numFmtId="37" fontId="18" fillId="0" borderId="94" xfId="25797" applyFont="1" applyBorder="1"/>
    <xf numFmtId="37" fontId="18" fillId="0" borderId="93" xfId="25797" applyFont="1" applyBorder="1"/>
    <xf numFmtId="37" fontId="18" fillId="0" borderId="92" xfId="25797" applyFont="1" applyBorder="1"/>
    <xf numFmtId="37" fontId="140"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4" borderId="88" xfId="25797" applyNumberFormat="1" applyFont="1" applyFill="1" applyBorder="1" applyAlignment="1" applyProtection="1">
      <alignment horizontal="left"/>
    </xf>
    <xf numFmtId="10" fontId="18" fillId="94" borderId="85" xfId="25797" applyNumberFormat="1" applyFont="1" applyFill="1" applyBorder="1" applyProtection="1"/>
    <xf numFmtId="10" fontId="18" fillId="94" borderId="105" xfId="25797" applyNumberFormat="1" applyFont="1" applyFill="1" applyBorder="1" applyProtection="1"/>
    <xf numFmtId="0" fontId="143" fillId="0" borderId="0" xfId="0" applyFont="1" applyAlignment="1"/>
    <xf numFmtId="200" fontId="18" fillId="0" borderId="0" xfId="25797" applyNumberFormat="1" applyFont="1" applyBorder="1"/>
    <xf numFmtId="0" fontId="142" fillId="0" borderId="0" xfId="0" applyFont="1" applyAlignment="1">
      <alignment horizontal="center"/>
    </xf>
    <xf numFmtId="0" fontId="124" fillId="0" borderId="0" xfId="0" applyFont="1" applyAlignment="1">
      <alignment horizontal="left" vertical="top"/>
    </xf>
    <xf numFmtId="0" fontId="124" fillId="0" borderId="76" xfId="0" applyFont="1" applyBorder="1" applyAlignment="1">
      <alignment horizontal="center"/>
    </xf>
    <xf numFmtId="39" fontId="124" fillId="0" borderId="77" xfId="25747" applyNumberFormat="1" applyFont="1" applyBorder="1" applyAlignment="1"/>
    <xf numFmtId="4" fontId="124" fillId="0" borderId="52" xfId="0" applyNumberFormat="1" applyFont="1" applyBorder="1" applyAlignment="1"/>
    <xf numFmtId="201" fontId="124" fillId="0" borderId="52" xfId="0" applyNumberFormat="1" applyFont="1" applyBorder="1" applyAlignment="1"/>
    <xf numFmtId="4" fontId="124" fillId="0" borderId="77" xfId="0" applyNumberFormat="1" applyFont="1" applyBorder="1" applyAlignment="1"/>
    <xf numFmtId="0" fontId="124" fillId="0" borderId="11" xfId="0" applyFont="1" applyBorder="1" applyAlignment="1"/>
    <xf numFmtId="189" fontId="124" fillId="0" borderId="52" xfId="0" applyNumberFormat="1" applyFont="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5" fillId="0" borderId="0" xfId="0" applyFont="1" applyAlignment="1">
      <alignment horizontal="left"/>
    </xf>
    <xf numFmtId="0" fontId="146" fillId="0" borderId="0" xfId="25798" applyFont="1"/>
    <xf numFmtId="0" fontId="67" fillId="0" borderId="0" xfId="25798" applyFont="1"/>
    <xf numFmtId="0" fontId="147" fillId="0" borderId="0" xfId="25798" applyFont="1" applyFill="1" applyBorder="1"/>
    <xf numFmtId="0" fontId="147" fillId="0" borderId="0" xfId="25798" applyFont="1" applyBorder="1"/>
    <xf numFmtId="0" fontId="146" fillId="0" borderId="0" xfId="25798" applyFont="1" applyBorder="1"/>
    <xf numFmtId="0" fontId="67" fillId="0" borderId="0" xfId="25798" applyFont="1" applyFill="1" applyBorder="1"/>
    <xf numFmtId="0" fontId="67" fillId="0" borderId="0" xfId="25798" applyFont="1" applyBorder="1"/>
    <xf numFmtId="0" fontId="67" fillId="0" borderId="0" xfId="25798" applyFont="1" applyAlignment="1">
      <alignment horizontal="center"/>
    </xf>
    <xf numFmtId="0" fontId="147" fillId="0" borderId="0" xfId="25798" applyFont="1"/>
    <xf numFmtId="0" fontId="147" fillId="0" borderId="31" xfId="25798" applyFont="1" applyBorder="1"/>
    <xf numFmtId="0" fontId="148" fillId="0" borderId="0" xfId="25798" applyFont="1" applyBorder="1"/>
    <xf numFmtId="0" fontId="67" fillId="0" borderId="85" xfId="25798" applyFont="1" applyBorder="1"/>
    <xf numFmtId="0" fontId="149" fillId="0" borderId="85" xfId="25798" applyFont="1" applyBorder="1"/>
    <xf numFmtId="0" fontId="146" fillId="0" borderId="85" xfId="25798" applyFont="1" applyBorder="1"/>
    <xf numFmtId="0" fontId="150" fillId="0" borderId="85" xfId="25798" applyFont="1" applyBorder="1" applyAlignment="1">
      <alignment horizontal="center"/>
    </xf>
    <xf numFmtId="0" fontId="148" fillId="0" borderId="85" xfId="25798" applyFont="1" applyBorder="1"/>
    <xf numFmtId="0" fontId="67" fillId="0" borderId="0" xfId="25798" applyFont="1" applyFill="1" applyBorder="1" applyAlignment="1">
      <alignment horizontal="center"/>
    </xf>
    <xf numFmtId="0" fontId="147" fillId="0" borderId="85" xfId="25798" applyFont="1" applyBorder="1"/>
    <xf numFmtId="0" fontId="67" fillId="0" borderId="0" xfId="25798" applyFont="1" applyBorder="1" applyAlignment="1">
      <alignment horizontal="center"/>
    </xf>
    <xf numFmtId="0" fontId="146" fillId="0" borderId="0" xfId="25798" applyFont="1" applyAlignment="1">
      <alignment horizontal="center"/>
    </xf>
    <xf numFmtId="166" fontId="67" fillId="0" borderId="0" xfId="25798" applyNumberFormat="1" applyFont="1"/>
    <xf numFmtId="0" fontId="146" fillId="0" borderId="85" xfId="25798" applyFont="1" applyBorder="1" applyAlignment="1">
      <alignment horizontal="center"/>
    </xf>
    <xf numFmtId="0" fontId="67" fillId="0" borderId="85" xfId="25798" applyFont="1" applyBorder="1" applyAlignment="1">
      <alignment horizontal="center"/>
    </xf>
    <xf numFmtId="9" fontId="67" fillId="0" borderId="0" xfId="25798" applyNumberFormat="1" applyFont="1"/>
    <xf numFmtId="41" fontId="146" fillId="0" borderId="0" xfId="25798" applyNumberFormat="1" applyFont="1"/>
    <xf numFmtId="41" fontId="67" fillId="0" borderId="0" xfId="25798" applyNumberFormat="1" applyFont="1"/>
    <xf numFmtId="0" fontId="148" fillId="0" borderId="0" xfId="25798" applyFont="1"/>
    <xf numFmtId="41" fontId="67" fillId="0" borderId="0" xfId="25798" applyNumberFormat="1" applyFont="1" applyBorder="1"/>
    <xf numFmtId="41" fontId="67" fillId="0" borderId="0" xfId="25798" applyNumberFormat="1" applyFont="1" applyFill="1"/>
    <xf numFmtId="41" fontId="147" fillId="0" borderId="0" xfId="25798" applyNumberFormat="1" applyFont="1"/>
    <xf numFmtId="10" fontId="67" fillId="0" borderId="0" xfId="25798" applyNumberFormat="1" applyFont="1"/>
    <xf numFmtId="10" fontId="67" fillId="0" borderId="0" xfId="25750" applyNumberFormat="1" applyFont="1"/>
    <xf numFmtId="10" fontId="67" fillId="0" borderId="85" xfId="25750" applyNumberFormat="1" applyFont="1" applyBorder="1"/>
    <xf numFmtId="202" fontId="67" fillId="0" borderId="0" xfId="25798" applyNumberFormat="1" applyFont="1"/>
    <xf numFmtId="0" fontId="67" fillId="0" borderId="0" xfId="25798" applyFont="1" applyAlignment="1">
      <alignment horizontal="right"/>
    </xf>
    <xf numFmtId="0" fontId="147" fillId="0" borderId="0" xfId="25798" applyFont="1" applyAlignment="1">
      <alignment horizontal="right"/>
    </xf>
    <xf numFmtId="41" fontId="67" fillId="0" borderId="85" xfId="25798" applyNumberFormat="1" applyFont="1" applyBorder="1"/>
    <xf numFmtId="41" fontId="146" fillId="0" borderId="78" xfId="25798" applyNumberFormat="1" applyFont="1" applyBorder="1"/>
    <xf numFmtId="5" fontId="146" fillId="0" borderId="78" xfId="25798" applyNumberFormat="1" applyFont="1" applyBorder="1"/>
    <xf numFmtId="41" fontId="146" fillId="0" borderId="75" xfId="25798" applyNumberFormat="1" applyFont="1" applyBorder="1"/>
    <xf numFmtId="41" fontId="67" fillId="0" borderId="0" xfId="25744" applyNumberFormat="1" applyFont="1"/>
    <xf numFmtId="41" fontId="147" fillId="0" borderId="85" xfId="25798" applyNumberFormat="1" applyFont="1" applyBorder="1"/>
    <xf numFmtId="41" fontId="146" fillId="0" borderId="85" xfId="25798" applyNumberFormat="1" applyFont="1" applyBorder="1"/>
    <xf numFmtId="167" fontId="67" fillId="0" borderId="0" xfId="25750" applyNumberFormat="1" applyFont="1"/>
    <xf numFmtId="167" fontId="67" fillId="0" borderId="0" xfId="25798" applyNumberFormat="1" applyFont="1"/>
    <xf numFmtId="0" fontId="151" fillId="0" borderId="0" xfId="25798" applyFont="1" applyAlignment="1">
      <alignment horizontal="right"/>
    </xf>
    <xf numFmtId="0" fontId="151" fillId="0" borderId="0" xfId="25798" applyFont="1"/>
    <xf numFmtId="41" fontId="151" fillId="0" borderId="0" xfId="25798" applyNumberFormat="1" applyFont="1"/>
    <xf numFmtId="49" fontId="32" fillId="0" borderId="104" xfId="25455" applyNumberFormat="1" applyFont="1" applyBorder="1" applyAlignment="1">
      <alignment horizontal="center"/>
    </xf>
    <xf numFmtId="165" fontId="32" fillId="0" borderId="104" xfId="25456" applyNumberFormat="1" applyFont="1" applyBorder="1"/>
    <xf numFmtId="37" fontId="32" fillId="86" borderId="104" xfId="25456" applyNumberFormat="1" applyFont="1" applyFill="1" applyBorder="1"/>
    <xf numFmtId="0" fontId="32" fillId="0" borderId="11" xfId="25455" applyFont="1" applyBorder="1" applyAlignment="1">
      <alignment horizontal="center"/>
    </xf>
    <xf numFmtId="49" fontId="32" fillId="0" borderId="52" xfId="25455" applyNumberFormat="1" applyFont="1" applyBorder="1" applyAlignment="1">
      <alignment horizontal="center"/>
    </xf>
    <xf numFmtId="49" fontId="32" fillId="0" borderId="104" xfId="25455" applyNumberFormat="1" applyFont="1" applyFill="1" applyBorder="1" applyAlignment="1">
      <alignment horizontal="center"/>
    </xf>
    <xf numFmtId="37" fontId="32" fillId="87" borderId="104" xfId="25456" applyNumberFormat="1" applyFont="1" applyFill="1" applyBorder="1"/>
    <xf numFmtId="43" fontId="151" fillId="0" borderId="0" xfId="25798" applyNumberFormat="1" applyFont="1"/>
    <xf numFmtId="0" fontId="18" fillId="0" borderId="0" xfId="25798"/>
    <xf numFmtId="41" fontId="18" fillId="0" borderId="0" xfId="25798" applyNumberFormat="1"/>
    <xf numFmtId="0" fontId="18" fillId="0" borderId="0" xfId="25798" applyAlignment="1">
      <alignment horizontal="center"/>
    </xf>
    <xf numFmtId="10" fontId="18" fillId="0" borderId="0" xfId="25798" applyNumberFormat="1"/>
    <xf numFmtId="41" fontId="20" fillId="0" borderId="0" xfId="25798" applyNumberFormat="1" applyFont="1"/>
    <xf numFmtId="0" fontId="20" fillId="0" borderId="0" xfId="25798" applyFont="1"/>
    <xf numFmtId="14" fontId="18" fillId="0" borderId="0" xfId="25798" applyNumberFormat="1"/>
    <xf numFmtId="41" fontId="152" fillId="0" borderId="0" xfId="25798" applyNumberFormat="1" applyFont="1"/>
    <xf numFmtId="0" fontId="18" fillId="0" borderId="85" xfId="25798" applyBorder="1" applyAlignment="1">
      <alignment horizontal="center"/>
    </xf>
    <xf numFmtId="0" fontId="18" fillId="0" borderId="85" xfId="25798" applyBorder="1"/>
    <xf numFmtId="0" fontId="124" fillId="89" borderId="0" xfId="0" applyFont="1" applyFill="1" applyAlignment="1">
      <alignment horizontal="center"/>
    </xf>
    <xf numFmtId="0" fontId="32" fillId="89" borderId="0" xfId="25796" applyFont="1" applyFill="1"/>
    <xf numFmtId="14" fontId="32" fillId="89" borderId="0" xfId="25744" applyNumberFormat="1" applyFont="1" applyFill="1"/>
    <xf numFmtId="43" fontId="32" fillId="89" borderId="0" xfId="25744" applyFont="1" applyFill="1"/>
    <xf numFmtId="39" fontId="32" fillId="89" borderId="0" xfId="25796" applyNumberFormat="1" applyFont="1" applyFill="1"/>
    <xf numFmtId="0" fontId="32" fillId="89" borderId="0" xfId="25796" applyFont="1" applyFill="1" applyAlignment="1">
      <alignment horizontal="center"/>
    </xf>
    <xf numFmtId="0" fontId="32" fillId="0" borderId="0" xfId="25455" applyFont="1" applyAlignment="1">
      <alignment horizontal="center"/>
    </xf>
    <xf numFmtId="0" fontId="153" fillId="96" borderId="76" xfId="0" applyFont="1" applyFill="1" applyBorder="1"/>
    <xf numFmtId="0" fontId="153" fillId="96" borderId="75" xfId="0" applyFont="1" applyFill="1" applyBorder="1"/>
    <xf numFmtId="0" fontId="153" fillId="96" borderId="77" xfId="0" applyFont="1" applyFill="1" applyBorder="1"/>
    <xf numFmtId="0" fontId="153" fillId="96" borderId="31" xfId="0" applyFont="1" applyFill="1" applyBorder="1"/>
    <xf numFmtId="0" fontId="153" fillId="96" borderId="0" xfId="0" applyFont="1" applyFill="1" applyBorder="1"/>
    <xf numFmtId="0" fontId="153" fillId="96" borderId="11" xfId="0" applyFont="1" applyFill="1" applyBorder="1"/>
    <xf numFmtId="41" fontId="153" fillId="96" borderId="0" xfId="0" applyNumberFormat="1" applyFont="1" applyFill="1" applyBorder="1"/>
    <xf numFmtId="41" fontId="153" fillId="96" borderId="85" xfId="0" applyNumberFormat="1" applyFont="1" applyFill="1" applyBorder="1"/>
    <xf numFmtId="0" fontId="153" fillId="96" borderId="85" xfId="0" applyFont="1" applyFill="1" applyBorder="1"/>
    <xf numFmtId="0" fontId="153" fillId="96" borderId="50" xfId="0" applyFont="1" applyFill="1" applyBorder="1"/>
    <xf numFmtId="0" fontId="153" fillId="96" borderId="52" xfId="0" applyFont="1" applyFill="1" applyBorder="1"/>
    <xf numFmtId="0" fontId="154" fillId="96" borderId="0" xfId="0" applyFont="1" applyFill="1" applyBorder="1"/>
    <xf numFmtId="41" fontId="154" fillId="96" borderId="0" xfId="0" applyNumberFormat="1" applyFont="1" applyFill="1" applyBorder="1"/>
    <xf numFmtId="2" fontId="146" fillId="0" borderId="0" xfId="25798" quotePrefix="1" applyNumberFormat="1" applyFont="1" applyAlignment="1">
      <alignment horizontal="center"/>
    </xf>
    <xf numFmtId="2" fontId="67" fillId="0" borderId="0" xfId="25798" applyNumberFormat="1" applyFont="1" applyAlignment="1">
      <alignment horizontal="center"/>
    </xf>
    <xf numFmtId="41" fontId="153" fillId="0" borderId="0" xfId="0" applyNumberFormat="1" applyFont="1" applyFill="1" applyBorder="1"/>
    <xf numFmtId="0" fontId="153" fillId="96" borderId="0" xfId="0" applyFont="1" applyFill="1" applyBorder="1" applyAlignment="1">
      <alignment horizontal="left" indent="1"/>
    </xf>
    <xf numFmtId="0" fontId="155" fillId="96" borderId="0" xfId="0" applyFont="1" applyFill="1" applyBorder="1"/>
    <xf numFmtId="0" fontId="155" fillId="96" borderId="75" xfId="0" applyFont="1" applyFill="1" applyBorder="1"/>
    <xf numFmtId="0" fontId="156" fillId="96" borderId="0" xfId="25798" applyFont="1" applyFill="1"/>
    <xf numFmtId="0" fontId="155" fillId="96" borderId="85" xfId="0" applyFont="1" applyFill="1" applyBorder="1"/>
    <xf numFmtId="0" fontId="153" fillId="0" borderId="0" xfId="0" applyFont="1"/>
    <xf numFmtId="0" fontId="155" fillId="0" borderId="0" xfId="0" applyFont="1"/>
    <xf numFmtId="43" fontId="153" fillId="0" borderId="0" xfId="0" applyNumberFormat="1" applyFont="1"/>
    <xf numFmtId="0" fontId="155" fillId="0" borderId="0" xfId="0" applyFont="1" applyAlignment="1">
      <alignment horizontal="center"/>
    </xf>
    <xf numFmtId="0" fontId="155" fillId="96" borderId="0" xfId="0" applyFont="1" applyFill="1" applyBorder="1" applyAlignment="1">
      <alignment horizontal="center"/>
    </xf>
    <xf numFmtId="0" fontId="155" fillId="96" borderId="75" xfId="0" applyFont="1" applyFill="1" applyBorder="1" applyAlignment="1">
      <alignment horizontal="center"/>
    </xf>
    <xf numFmtId="0" fontId="155" fillId="96" borderId="85" xfId="0" applyFont="1" applyFill="1" applyBorder="1" applyAlignment="1">
      <alignment horizontal="center"/>
    </xf>
    <xf numFmtId="0" fontId="158" fillId="96" borderId="0" xfId="0" applyFont="1" applyFill="1" applyBorder="1" applyAlignment="1">
      <alignment horizontal="center"/>
    </xf>
    <xf numFmtId="41" fontId="154" fillId="96" borderId="78" xfId="0" applyNumberFormat="1" applyFont="1" applyFill="1" applyBorder="1"/>
    <xf numFmtId="5" fontId="32" fillId="0" borderId="0" xfId="25455" applyNumberFormat="1" applyFont="1" applyFill="1" applyBorder="1"/>
    <xf numFmtId="41" fontId="153" fillId="0" borderId="0" xfId="0" applyNumberFormat="1" applyFont="1"/>
    <xf numFmtId="0" fontId="153" fillId="0" borderId="0" xfId="0" applyFont="1" applyAlignment="1">
      <alignment horizontal="right"/>
    </xf>
    <xf numFmtId="5" fontId="153" fillId="0" borderId="0" xfId="0" applyNumberFormat="1" applyFont="1"/>
    <xf numFmtId="38" fontId="153" fillId="0" borderId="0" xfId="0" applyNumberFormat="1" applyFont="1"/>
    <xf numFmtId="0" fontId="157" fillId="0" borderId="0" xfId="0" applyFont="1"/>
    <xf numFmtId="41" fontId="157" fillId="0" borderId="0" xfId="0" applyNumberFormat="1" applyFont="1"/>
    <xf numFmtId="0" fontId="157" fillId="0" borderId="0" xfId="0" applyFont="1" applyAlignment="1">
      <alignment wrapText="1"/>
    </xf>
    <xf numFmtId="0" fontId="157" fillId="0" borderId="0" xfId="0" applyFont="1" applyAlignment="1">
      <alignment horizontal="right"/>
    </xf>
    <xf numFmtId="203" fontId="157" fillId="0" borderId="0" xfId="0" applyNumberFormat="1" applyFont="1"/>
    <xf numFmtId="43" fontId="157" fillId="0" borderId="0" xfId="0" applyNumberFormat="1" applyFont="1"/>
    <xf numFmtId="41" fontId="157" fillId="0" borderId="75" xfId="0" applyNumberFormat="1" applyFont="1" applyBorder="1"/>
    <xf numFmtId="10" fontId="157" fillId="0" borderId="0" xfId="25795" applyNumberFormat="1" applyFont="1"/>
    <xf numFmtId="10" fontId="157" fillId="0" borderId="0" xfId="0" applyNumberFormat="1" applyFont="1"/>
    <xf numFmtId="0" fontId="157" fillId="0" borderId="0" xfId="0" applyFont="1" applyAlignment="1">
      <alignment horizontal="left" indent="1"/>
    </xf>
    <xf numFmtId="203" fontId="157" fillId="0" borderId="85" xfId="0" applyNumberFormat="1" applyFont="1" applyBorder="1"/>
    <xf numFmtId="0" fontId="157" fillId="0" borderId="85" xfId="0" applyFont="1" applyBorder="1"/>
    <xf numFmtId="0" fontId="157" fillId="0" borderId="85" xfId="0" applyFont="1" applyBorder="1" applyAlignment="1">
      <alignment wrapText="1"/>
    </xf>
    <xf numFmtId="0" fontId="157" fillId="0" borderId="85" xfId="0" applyFont="1" applyBorder="1" applyAlignment="1">
      <alignment horizontal="center"/>
    </xf>
    <xf numFmtId="0" fontId="157" fillId="0" borderId="0" xfId="0" applyFont="1" applyAlignment="1">
      <alignment horizontal="center"/>
    </xf>
    <xf numFmtId="0" fontId="157" fillId="0" borderId="85" xfId="0" applyFont="1" applyBorder="1" applyAlignment="1">
      <alignment horizontal="center" wrapText="1"/>
    </xf>
    <xf numFmtId="0" fontId="157" fillId="0" borderId="0" xfId="0" applyFont="1" applyAlignment="1">
      <alignment horizontal="center" wrapText="1"/>
    </xf>
    <xf numFmtId="0" fontId="157" fillId="0" borderId="0" xfId="0" applyFont="1" applyAlignment="1">
      <alignment horizontal="center" textRotation="30"/>
    </xf>
    <xf numFmtId="41" fontId="157" fillId="0" borderId="0" xfId="0" applyNumberFormat="1" applyFont="1" applyAlignment="1">
      <alignment horizontal="center"/>
    </xf>
    <xf numFmtId="0" fontId="157" fillId="0" borderId="0" xfId="0" applyFont="1" applyAlignment="1">
      <alignment horizontal="left" wrapText="1"/>
    </xf>
    <xf numFmtId="0" fontId="159" fillId="0" borderId="0" xfId="0" applyFont="1" applyAlignment="1">
      <alignment horizontal="center"/>
    </xf>
    <xf numFmtId="41" fontId="157" fillId="0" borderId="78" xfId="0" applyNumberFormat="1" applyFont="1" applyBorder="1"/>
    <xf numFmtId="41" fontId="157" fillId="0" borderId="85" xfId="0" applyNumberFormat="1" applyFont="1" applyBorder="1"/>
    <xf numFmtId="14" fontId="67" fillId="0" borderId="0" xfId="25798" applyNumberFormat="1" applyFont="1"/>
    <xf numFmtId="0" fontId="146" fillId="0" borderId="0" xfId="25766" applyFont="1"/>
    <xf numFmtId="0" fontId="149" fillId="0" borderId="0" xfId="25798" applyFont="1"/>
    <xf numFmtId="0" fontId="80" fillId="0" borderId="0" xfId="25766" applyFont="1" applyAlignment="1">
      <alignment horizontal="center" wrapText="1"/>
    </xf>
    <xf numFmtId="10" fontId="67" fillId="0" borderId="0" xfId="25766" applyNumberFormat="1" applyFont="1" applyFill="1"/>
    <xf numFmtId="0" fontId="67" fillId="0" borderId="0" xfId="25798" applyFont="1" applyFill="1"/>
    <xf numFmtId="10" fontId="67" fillId="0" borderId="0" xfId="25798" applyNumberFormat="1" applyFont="1" applyFill="1"/>
    <xf numFmtId="43" fontId="67" fillId="0" borderId="0" xfId="25798" applyNumberFormat="1" applyFont="1"/>
    <xf numFmtId="14" fontId="146" fillId="0" borderId="85" xfId="25798" applyNumberFormat="1" applyFont="1" applyBorder="1" applyAlignment="1">
      <alignment horizontal="center"/>
    </xf>
    <xf numFmtId="0" fontId="65" fillId="0" borderId="0" xfId="25798" applyFont="1" applyAlignment="1">
      <alignment horizontal="center" wrapText="1"/>
    </xf>
    <xf numFmtId="205" fontId="32" fillId="0" borderId="0" xfId="25796" applyNumberFormat="1" applyFont="1"/>
    <xf numFmtId="0" fontId="153" fillId="0" borderId="0" xfId="0" applyFont="1" applyBorder="1"/>
    <xf numFmtId="0" fontId="153" fillId="0" borderId="85" xfId="0" applyFont="1" applyBorder="1"/>
    <xf numFmtId="166" fontId="153" fillId="0" borderId="0" xfId="25795" applyNumberFormat="1" applyFont="1"/>
    <xf numFmtId="166" fontId="153" fillId="0" borderId="0" xfId="0" applyNumberFormat="1" applyFont="1"/>
    <xf numFmtId="10" fontId="153" fillId="0" borderId="0" xfId="0" applyNumberFormat="1" applyFont="1"/>
    <xf numFmtId="0" fontId="160" fillId="0" borderId="0" xfId="24690" applyFont="1" applyFill="1" applyBorder="1" applyAlignment="1"/>
    <xf numFmtId="0" fontId="43" fillId="0" borderId="0" xfId="25455" applyFont="1" applyAlignment="1">
      <alignment horizontal="center"/>
    </xf>
    <xf numFmtId="0" fontId="153" fillId="0" borderId="0" xfId="0" applyFont="1" applyAlignment="1">
      <alignment horizontal="center"/>
    </xf>
    <xf numFmtId="0" fontId="153" fillId="0" borderId="0" xfId="0" applyFont="1" applyFill="1" applyBorder="1"/>
    <xf numFmtId="49" fontId="160" fillId="0" borderId="0" xfId="24690" applyNumberFormat="1" applyFont="1" applyFill="1" applyBorder="1" applyAlignment="1"/>
    <xf numFmtId="49" fontId="160" fillId="0" borderId="0" xfId="24690" applyNumberFormat="1" applyFont="1" applyFill="1" applyBorder="1" applyAlignment="1">
      <alignment horizontal="center"/>
    </xf>
    <xf numFmtId="0" fontId="43" fillId="0" borderId="0" xfId="25455" applyFont="1" applyFill="1" applyBorder="1"/>
    <xf numFmtId="0" fontId="43" fillId="0" borderId="0" xfId="25455" applyFont="1" applyFill="1" applyBorder="1" applyAlignment="1">
      <alignment horizontal="center"/>
    </xf>
    <xf numFmtId="186" fontId="153" fillId="0" borderId="51" xfId="0" applyNumberFormat="1" applyFont="1" applyFill="1" applyBorder="1"/>
    <xf numFmtId="189" fontId="153" fillId="0" borderId="0" xfId="0" applyNumberFormat="1" applyFont="1"/>
    <xf numFmtId="189" fontId="153" fillId="0" borderId="51" xfId="0" applyNumberFormat="1" applyFont="1" applyBorder="1"/>
    <xf numFmtId="184" fontId="153" fillId="0" borderId="51" xfId="0" applyNumberFormat="1" applyFont="1" applyBorder="1"/>
    <xf numFmtId="189" fontId="154" fillId="0" borderId="78" xfId="0" applyNumberFormat="1" applyFont="1" applyBorder="1"/>
    <xf numFmtId="167" fontId="154" fillId="0" borderId="0" xfId="0" applyNumberFormat="1" applyFont="1" applyAlignment="1">
      <alignment horizontal="center"/>
    </xf>
    <xf numFmtId="0" fontId="43" fillId="0" borderId="0" xfId="24690" applyFont="1" applyFill="1" applyBorder="1" applyAlignment="1"/>
    <xf numFmtId="0" fontId="150" fillId="0" borderId="0" xfId="25798" applyFont="1" applyBorder="1" applyAlignment="1">
      <alignment horizontal="center"/>
    </xf>
    <xf numFmtId="0" fontId="123" fillId="0" borderId="0" xfId="1" applyFont="1" applyFill="1" applyBorder="1" applyAlignment="1">
      <alignment horizontal="left"/>
    </xf>
    <xf numFmtId="184" fontId="32" fillId="0" borderId="0" xfId="25276" applyNumberFormat="1" applyFont="1" applyFill="1" applyBorder="1"/>
    <xf numFmtId="0" fontId="32" fillId="0" borderId="0" xfId="25276" quotePrefix="1" applyFont="1" applyBorder="1" applyAlignment="1">
      <alignment horizontal="left" indent="1"/>
    </xf>
    <xf numFmtId="0" fontId="32" fillId="0" borderId="0" xfId="25276" quotePrefix="1" applyFont="1" applyBorder="1" applyAlignment="1">
      <alignment horizontal="left" indent="2"/>
    </xf>
    <xf numFmtId="184" fontId="32" fillId="0" borderId="85" xfId="25276" applyNumberFormat="1" applyFont="1" applyFill="1" applyBorder="1"/>
    <xf numFmtId="184" fontId="32" fillId="0" borderId="111" xfId="25276" applyNumberFormat="1" applyFont="1" applyFill="1" applyBorder="1"/>
    <xf numFmtId="0" fontId="32" fillId="0" borderId="0" xfId="25276" applyFont="1" applyBorder="1" applyAlignment="1">
      <alignment horizontal="left" indent="1"/>
    </xf>
    <xf numFmtId="184" fontId="32" fillId="0" borderId="45" xfId="25276" applyNumberFormat="1" applyFont="1" applyFill="1" applyBorder="1"/>
    <xf numFmtId="0" fontId="123" fillId="0" borderId="0" xfId="1" quotePrefix="1" applyFont="1" applyFill="1" applyBorder="1" applyAlignment="1">
      <alignment horizontal="left"/>
    </xf>
    <xf numFmtId="0" fontId="123" fillId="0" borderId="0" xfId="25276" applyFont="1" applyFill="1" applyBorder="1" applyAlignment="1">
      <alignment horizontal="left"/>
    </xf>
    <xf numFmtId="0" fontId="32" fillId="0" borderId="0" xfId="0" applyFont="1" applyBorder="1" applyAlignment="1" applyProtection="1">
      <alignment horizontal="left"/>
    </xf>
    <xf numFmtId="188" fontId="32" fillId="0" borderId="0" xfId="0" applyNumberFormat="1" applyFont="1" applyFill="1" applyBorder="1" applyProtection="1"/>
    <xf numFmtId="0" fontId="32" fillId="0" borderId="0" xfId="0" applyFont="1" applyFill="1" applyBorder="1"/>
    <xf numFmtId="184" fontId="123" fillId="0" borderId="13" xfId="25276" applyNumberFormat="1" applyFont="1" applyFill="1" applyBorder="1"/>
    <xf numFmtId="184" fontId="32" fillId="0" borderId="0" xfId="24767" applyNumberFormat="1" applyFont="1" applyFill="1" applyBorder="1"/>
    <xf numFmtId="0" fontId="32" fillId="0" borderId="85" xfId="0" applyFont="1" applyFill="1" applyBorder="1"/>
    <xf numFmtId="204" fontId="32" fillId="0" borderId="0" xfId="0" applyNumberFormat="1" applyFont="1" applyFill="1" applyBorder="1"/>
    <xf numFmtId="0" fontId="70" fillId="0" borderId="0" xfId="1" applyFont="1" applyFill="1" applyBorder="1" applyAlignment="1">
      <alignment horizontal="left"/>
    </xf>
    <xf numFmtId="0" fontId="70" fillId="0" borderId="0" xfId="1" quotePrefix="1" applyFont="1" applyFill="1" applyBorder="1" applyAlignment="1">
      <alignment horizontal="left"/>
    </xf>
    <xf numFmtId="0" fontId="123" fillId="0" borderId="0" xfId="25276" applyFont="1" applyFill="1" applyBorder="1" applyAlignment="1">
      <alignment horizontal="center"/>
    </xf>
    <xf numFmtId="184" fontId="123" fillId="0" borderId="85" xfId="25276" applyNumberFormat="1" applyFont="1" applyFill="1" applyBorder="1" applyAlignment="1">
      <alignment horizontal="center"/>
    </xf>
    <xf numFmtId="5" fontId="123" fillId="0" borderId="0" xfId="25457" applyNumberFormat="1" applyFont="1" applyFill="1" applyBorder="1">
      <alignment horizontal="right"/>
    </xf>
    <xf numFmtId="0" fontId="123" fillId="0" borderId="114" xfId="25455" applyFont="1" applyBorder="1" applyAlignment="1">
      <alignment horizontal="center"/>
    </xf>
    <xf numFmtId="0" fontId="32" fillId="0" borderId="115" xfId="25455" applyFont="1" applyBorder="1"/>
    <xf numFmtId="0" fontId="32" fillId="0" borderId="116" xfId="25455" applyFont="1" applyBorder="1"/>
    <xf numFmtId="37" fontId="32" fillId="0" borderId="115" xfId="25456" applyNumberFormat="1" applyFont="1" applyFill="1" applyBorder="1"/>
    <xf numFmtId="37" fontId="32" fillId="0" borderId="116" xfId="25456" applyNumberFormat="1" applyFont="1" applyFill="1" applyBorder="1"/>
    <xf numFmtId="5" fontId="123" fillId="0" borderId="117" xfId="25457" applyNumberFormat="1" applyFont="1" applyBorder="1">
      <alignment horizontal="right"/>
    </xf>
    <xf numFmtId="5" fontId="123" fillId="0" borderId="114" xfId="25457" applyNumberFormat="1" applyFont="1" applyBorder="1">
      <alignment horizontal="right"/>
    </xf>
    <xf numFmtId="5" fontId="32" fillId="0" borderId="115" xfId="25457" applyNumberFormat="1" applyFont="1" applyBorder="1">
      <alignment horizontal="right"/>
    </xf>
    <xf numFmtId="5" fontId="32" fillId="0" borderId="116" xfId="25457" applyNumberFormat="1" applyFont="1" applyFill="1" applyBorder="1">
      <alignment horizontal="right"/>
    </xf>
    <xf numFmtId="5" fontId="32" fillId="0" borderId="117" xfId="25457" applyNumberFormat="1" applyFont="1" applyBorder="1">
      <alignment horizontal="right"/>
    </xf>
    <xf numFmtId="5" fontId="123" fillId="0" borderId="118" xfId="25457" applyNumberFormat="1" applyFont="1" applyBorder="1">
      <alignment horizontal="right"/>
    </xf>
    <xf numFmtId="5" fontId="32" fillId="0" borderId="115" xfId="25456" applyNumberFormat="1" applyFont="1" applyBorder="1"/>
    <xf numFmtId="5" fontId="32" fillId="0" borderId="116" xfId="25457" applyNumberFormat="1" applyFont="1" applyBorder="1">
      <alignment horizontal="right"/>
    </xf>
    <xf numFmtId="5" fontId="32" fillId="0" borderId="117" xfId="25456" applyNumberFormat="1" applyFont="1" applyFill="1" applyBorder="1"/>
    <xf numFmtId="182" fontId="123" fillId="0" borderId="117" xfId="25457" applyNumberFormat="1" applyFont="1" applyFill="1" applyBorder="1">
      <alignment horizontal="right"/>
    </xf>
    <xf numFmtId="5" fontId="123" fillId="0" borderId="119" xfId="25455" applyNumberFormat="1" applyFont="1" applyBorder="1"/>
    <xf numFmtId="0" fontId="32" fillId="0" borderId="77" xfId="25455" applyFont="1" applyBorder="1" applyAlignment="1">
      <alignment horizontal="center"/>
    </xf>
    <xf numFmtId="5" fontId="32" fillId="0" borderId="81" xfId="25457" applyNumberFormat="1" applyFont="1" applyFill="1" applyBorder="1">
      <alignment horizontal="right"/>
    </xf>
    <xf numFmtId="37" fontId="32" fillId="86" borderId="81" xfId="25456" applyNumberFormat="1" applyFont="1" applyFill="1" applyBorder="1"/>
    <xf numFmtId="5" fontId="123" fillId="0" borderId="48" xfId="25457" applyNumberFormat="1" applyFont="1" applyBorder="1">
      <alignment horizontal="right"/>
    </xf>
    <xf numFmtId="5" fontId="123" fillId="0" borderId="77" xfId="25457" applyNumberFormat="1" applyFont="1" applyBorder="1">
      <alignment horizontal="right"/>
    </xf>
    <xf numFmtId="5" fontId="32" fillId="86" borderId="81" xfId="25457" applyNumberFormat="1" applyFont="1" applyFill="1" applyBorder="1">
      <alignment horizontal="right"/>
    </xf>
    <xf numFmtId="37" fontId="32" fillId="87" borderId="81" xfId="25456" applyNumberFormat="1" applyFont="1" applyFill="1" applyBorder="1"/>
    <xf numFmtId="37" fontId="32" fillId="0" borderId="81" xfId="25456" applyNumberFormat="1" applyFont="1" applyFill="1" applyBorder="1"/>
    <xf numFmtId="5" fontId="32" fillId="0" borderId="48" xfId="25457" applyNumberFormat="1" applyFont="1" applyBorder="1">
      <alignment horizontal="right"/>
    </xf>
    <xf numFmtId="5" fontId="123" fillId="0" borderId="120" xfId="25457" applyNumberFormat="1" applyFont="1" applyBorder="1">
      <alignment horizontal="right"/>
    </xf>
    <xf numFmtId="165" fontId="32" fillId="0" borderId="52" xfId="25456" applyNumberFormat="1" applyFont="1" applyBorder="1"/>
    <xf numFmtId="37" fontId="32" fillId="86" borderId="52" xfId="25456" applyNumberFormat="1" applyFont="1" applyFill="1" applyBorder="1"/>
    <xf numFmtId="5" fontId="32" fillId="0" borderId="48" xfId="25456" applyNumberFormat="1" applyFont="1" applyFill="1" applyBorder="1"/>
    <xf numFmtId="5" fontId="123" fillId="0" borderId="52" xfId="25455" applyNumberFormat="1" applyFont="1" applyBorder="1"/>
    <xf numFmtId="0" fontId="32" fillId="0" borderId="91" xfId="25455" applyFont="1" applyBorder="1" applyAlignment="1">
      <alignment horizontal="center"/>
    </xf>
    <xf numFmtId="0" fontId="32" fillId="0" borderId="121" xfId="25455" applyFont="1" applyBorder="1" applyAlignment="1">
      <alignment horizontal="center"/>
    </xf>
    <xf numFmtId="0" fontId="32" fillId="0" borderId="122" xfId="25455" applyFont="1" applyBorder="1" applyAlignment="1">
      <alignment horizontal="center"/>
    </xf>
    <xf numFmtId="0" fontId="32" fillId="0" borderId="61" xfId="25455" applyFont="1" applyBorder="1" applyAlignment="1">
      <alignment horizontal="center"/>
    </xf>
    <xf numFmtId="0" fontId="32" fillId="0" borderId="123" xfId="25455" applyFont="1" applyBorder="1" applyAlignment="1">
      <alignment horizontal="center"/>
    </xf>
    <xf numFmtId="49" fontId="32" fillId="0" borderId="62" xfId="25455" applyNumberFormat="1" applyFont="1" applyBorder="1" applyAlignment="1">
      <alignment horizontal="center"/>
    </xf>
    <xf numFmtId="49" fontId="32" fillId="0" borderId="124" xfId="25455" applyNumberFormat="1" applyFont="1" applyBorder="1" applyAlignment="1">
      <alignment horizontal="center"/>
    </xf>
    <xf numFmtId="0" fontId="32" fillId="0" borderId="104" xfId="25455" applyFont="1" applyBorder="1"/>
    <xf numFmtId="0" fontId="32" fillId="0" borderId="105" xfId="25455" applyFont="1" applyBorder="1"/>
    <xf numFmtId="5" fontId="32" fillId="0" borderId="125" xfId="25457" applyNumberFormat="1" applyFont="1" applyFill="1" applyBorder="1">
      <alignment horizontal="right"/>
    </xf>
    <xf numFmtId="5" fontId="32" fillId="0" borderId="126" xfId="25457" applyNumberFormat="1" applyFont="1" applyFill="1" applyBorder="1">
      <alignment horizontal="right"/>
    </xf>
    <xf numFmtId="37" fontId="32" fillId="86" borderId="125" xfId="25456" applyNumberFormat="1" applyFont="1" applyFill="1" applyBorder="1"/>
    <xf numFmtId="37" fontId="32" fillId="86" borderId="126" xfId="25456" applyNumberFormat="1" applyFont="1" applyFill="1" applyBorder="1"/>
    <xf numFmtId="5" fontId="123" fillId="0" borderId="127" xfId="25457" applyNumberFormat="1" applyFont="1" applyBorder="1">
      <alignment horizontal="right"/>
    </xf>
    <xf numFmtId="5" fontId="123" fillId="0" borderId="128" xfId="25457" applyNumberFormat="1" applyFont="1" applyBorder="1">
      <alignment horizontal="right"/>
    </xf>
    <xf numFmtId="5" fontId="123" fillId="0" borderId="129" xfId="25457" applyNumberFormat="1" applyFont="1" applyBorder="1">
      <alignment horizontal="right"/>
    </xf>
    <xf numFmtId="5" fontId="123" fillId="0" borderId="130" xfId="25457" applyNumberFormat="1" applyFont="1" applyBorder="1">
      <alignment horizontal="right"/>
    </xf>
    <xf numFmtId="5" fontId="32" fillId="86" borderId="125" xfId="25457" applyNumberFormat="1" applyFont="1" applyFill="1" applyBorder="1">
      <alignment horizontal="right"/>
    </xf>
    <xf numFmtId="5" fontId="32" fillId="86" borderId="126" xfId="25457" applyNumberFormat="1" applyFont="1" applyFill="1" applyBorder="1">
      <alignment horizontal="right"/>
    </xf>
    <xf numFmtId="37" fontId="32" fillId="87" borderId="125" xfId="25456" applyNumberFormat="1" applyFont="1" applyFill="1" applyBorder="1"/>
    <xf numFmtId="37" fontId="32" fillId="87" borderId="126" xfId="25456" applyNumberFormat="1" applyFont="1" applyFill="1" applyBorder="1"/>
    <xf numFmtId="37" fontId="32" fillId="0" borderId="125" xfId="25456" applyNumberFormat="1" applyFont="1" applyFill="1" applyBorder="1"/>
    <xf numFmtId="37" fontId="32" fillId="0" borderId="126" xfId="25456" applyNumberFormat="1" applyFont="1" applyFill="1" applyBorder="1"/>
    <xf numFmtId="5" fontId="32" fillId="0" borderId="127" xfId="25457" applyNumberFormat="1" applyFont="1" applyBorder="1">
      <alignment horizontal="right"/>
    </xf>
    <xf numFmtId="5" fontId="32" fillId="0" borderId="128" xfId="25457" applyNumberFormat="1" applyFont="1" applyBorder="1">
      <alignment horizontal="right"/>
    </xf>
    <xf numFmtId="5" fontId="123" fillId="0" borderId="131" xfId="25457" applyNumberFormat="1" applyFont="1" applyBorder="1">
      <alignment horizontal="right"/>
    </xf>
    <xf numFmtId="5" fontId="123" fillId="0" borderId="132" xfId="25457" applyNumberFormat="1" applyFont="1" applyBorder="1">
      <alignment horizontal="right"/>
    </xf>
    <xf numFmtId="165" fontId="32" fillId="0" borderId="62" xfId="25456" applyNumberFormat="1" applyFont="1" applyBorder="1"/>
    <xf numFmtId="165" fontId="32" fillId="0" borderId="124" xfId="25456" applyNumberFormat="1" applyFont="1" applyBorder="1"/>
    <xf numFmtId="37" fontId="32" fillId="86" borderId="124" xfId="25456" applyNumberFormat="1" applyFont="1" applyFill="1" applyBorder="1"/>
    <xf numFmtId="37" fontId="32" fillId="86" borderId="62" xfId="25456" applyNumberFormat="1" applyFont="1" applyFill="1" applyBorder="1"/>
    <xf numFmtId="5" fontId="32" fillId="0" borderId="127" xfId="25456" applyNumberFormat="1" applyFont="1" applyFill="1" applyBorder="1"/>
    <xf numFmtId="5" fontId="32" fillId="0" borderId="128" xfId="25456" applyNumberFormat="1" applyFont="1" applyFill="1" applyBorder="1"/>
    <xf numFmtId="5" fontId="123" fillId="0" borderId="133" xfId="25455" applyNumberFormat="1" applyFont="1" applyBorder="1"/>
    <xf numFmtId="5" fontId="123" fillId="0" borderId="134" xfId="25455" applyNumberFormat="1" applyFont="1" applyBorder="1"/>
    <xf numFmtId="0" fontId="32" fillId="0" borderId="91" xfId="25455" applyFont="1" applyFill="1" applyBorder="1" applyAlignment="1">
      <alignment horizontal="center"/>
    </xf>
    <xf numFmtId="37" fontId="32" fillId="0" borderId="121" xfId="25455" applyNumberFormat="1" applyFont="1" applyFill="1" applyBorder="1" applyAlignment="1">
      <alignment horizontal="center"/>
    </xf>
    <xf numFmtId="0" fontId="32" fillId="0" borderId="121" xfId="25455" applyFont="1" applyFill="1" applyBorder="1" applyAlignment="1">
      <alignment horizontal="center"/>
    </xf>
    <xf numFmtId="0" fontId="32" fillId="0" borderId="61" xfId="25455" applyFont="1" applyFill="1" applyBorder="1" applyAlignment="1">
      <alignment horizontal="center"/>
    </xf>
    <xf numFmtId="37" fontId="32" fillId="0" borderId="104" xfId="25455" applyNumberFormat="1" applyFont="1" applyBorder="1" applyAlignment="1">
      <alignment horizontal="center"/>
    </xf>
    <xf numFmtId="0" fontId="32" fillId="0" borderId="109" xfId="25455" applyFont="1" applyBorder="1"/>
    <xf numFmtId="37" fontId="32" fillId="0" borderId="104" xfId="25455" applyNumberFormat="1" applyFont="1" applyBorder="1"/>
    <xf numFmtId="5" fontId="32" fillId="86" borderId="125" xfId="25456" applyNumberFormat="1" applyFont="1" applyFill="1" applyBorder="1"/>
    <xf numFmtId="37" fontId="32" fillId="0" borderId="104" xfId="25456" applyNumberFormat="1" applyFont="1" applyBorder="1"/>
    <xf numFmtId="5" fontId="123" fillId="0" borderId="135" xfId="25455" applyNumberFormat="1" applyFont="1" applyBorder="1"/>
    <xf numFmtId="0" fontId="32" fillId="0" borderId="136" xfId="25455" applyFont="1" applyFill="1" applyBorder="1" applyAlignment="1">
      <alignment horizontal="center"/>
    </xf>
    <xf numFmtId="0" fontId="32" fillId="0" borderId="122" xfId="25455" applyFont="1" applyFill="1" applyBorder="1" applyAlignment="1">
      <alignment horizontal="center"/>
    </xf>
    <xf numFmtId="0" fontId="32" fillId="0" borderId="123" xfId="25455" applyFont="1" applyFill="1" applyBorder="1" applyAlignment="1">
      <alignment horizontal="center"/>
    </xf>
    <xf numFmtId="49" fontId="32" fillId="0" borderId="62" xfId="25455" applyNumberFormat="1" applyFont="1" applyFill="1" applyBorder="1" applyAlignment="1">
      <alignment horizontal="center"/>
    </xf>
    <xf numFmtId="5" fontId="123" fillId="96" borderId="128" xfId="25457" applyNumberFormat="1" applyFont="1" applyFill="1" applyBorder="1">
      <alignment horizontal="right"/>
    </xf>
    <xf numFmtId="5" fontId="123" fillId="96" borderId="130" xfId="25457" applyNumberFormat="1" applyFont="1" applyFill="1" applyBorder="1">
      <alignment horizontal="right"/>
    </xf>
    <xf numFmtId="181" fontId="32" fillId="86" borderId="125" xfId="25456" applyNumberFormat="1" applyFont="1" applyFill="1" applyBorder="1"/>
    <xf numFmtId="5" fontId="32" fillId="86" borderId="126" xfId="25456" applyNumberFormat="1" applyFont="1" applyFill="1" applyBorder="1"/>
    <xf numFmtId="165" fontId="32" fillId="0" borderId="104" xfId="25456" applyNumberFormat="1" applyFont="1" applyFill="1" applyBorder="1"/>
    <xf numFmtId="5" fontId="123" fillId="0" borderId="134" xfId="25455" applyNumberFormat="1" applyFont="1" applyFill="1" applyBorder="1"/>
    <xf numFmtId="5" fontId="123" fillId="96" borderId="135" xfId="25455" applyNumberFormat="1" applyFont="1" applyFill="1" applyBorder="1"/>
    <xf numFmtId="0" fontId="123" fillId="0" borderId="0" xfId="1" applyFont="1" applyFill="1" applyBorder="1" applyAlignment="1" applyProtection="1">
      <alignment horizontal="left" indent="1"/>
    </xf>
    <xf numFmtId="5" fontId="123" fillId="0" borderId="135" xfId="25455" applyNumberFormat="1" applyFont="1" applyFill="1" applyBorder="1"/>
    <xf numFmtId="0" fontId="123" fillId="102" borderId="0" xfId="25455" applyFont="1" applyFill="1" applyAlignment="1">
      <alignment horizontal="center"/>
    </xf>
    <xf numFmtId="0" fontId="32" fillId="0" borderId="113" xfId="25455" applyFont="1" applyBorder="1" applyAlignment="1">
      <alignment horizontal="center"/>
    </xf>
    <xf numFmtId="0" fontId="32" fillId="0" borderId="114" xfId="25455" applyFont="1" applyBorder="1" applyAlignment="1">
      <alignment horizontal="center"/>
    </xf>
    <xf numFmtId="0" fontId="32" fillId="0" borderId="137" xfId="25455" applyFont="1" applyBorder="1" applyAlignment="1">
      <alignment horizontal="center"/>
    </xf>
    <xf numFmtId="0" fontId="32" fillId="0" borderId="31" xfId="25455" applyFont="1" applyBorder="1" applyAlignment="1">
      <alignment horizontal="center"/>
    </xf>
    <xf numFmtId="49" fontId="32" fillId="0" borderId="50" xfId="25455" applyNumberFormat="1" applyFont="1" applyBorder="1" applyAlignment="1">
      <alignment horizontal="center"/>
    </xf>
    <xf numFmtId="5" fontId="32" fillId="0" borderId="80" xfId="25457" applyNumberFormat="1" applyFont="1" applyFill="1" applyBorder="1">
      <alignment horizontal="right"/>
    </xf>
    <xf numFmtId="37" fontId="32" fillId="86" borderId="80" xfId="25456" applyNumberFormat="1" applyFont="1" applyFill="1" applyBorder="1"/>
    <xf numFmtId="5" fontId="123" fillId="0" borderId="112" xfId="25457" applyNumberFormat="1" applyFont="1" applyBorder="1">
      <alignment horizontal="right"/>
    </xf>
    <xf numFmtId="5" fontId="123" fillId="0" borderId="76" xfId="25457" applyNumberFormat="1" applyFont="1" applyBorder="1">
      <alignment horizontal="right"/>
    </xf>
    <xf numFmtId="5" fontId="32" fillId="86" borderId="80" xfId="25457" applyNumberFormat="1" applyFont="1" applyFill="1" applyBorder="1">
      <alignment horizontal="right"/>
    </xf>
    <xf numFmtId="37" fontId="32" fillId="87" borderId="80" xfId="25456" applyNumberFormat="1" applyFont="1" applyFill="1" applyBorder="1"/>
    <xf numFmtId="37" fontId="32" fillId="0" borderId="80" xfId="25456" applyNumberFormat="1" applyFont="1" applyFill="1" applyBorder="1"/>
    <xf numFmtId="5" fontId="32" fillId="0" borderId="112" xfId="25457" applyNumberFormat="1" applyFont="1" applyBorder="1">
      <alignment horizontal="right"/>
    </xf>
    <xf numFmtId="5" fontId="123" fillId="0" borderId="138" xfId="25457" applyNumberFormat="1" applyFont="1" applyBorder="1">
      <alignment horizontal="right"/>
    </xf>
    <xf numFmtId="165" fontId="32" fillId="0" borderId="50" xfId="25456" applyNumberFormat="1" applyFont="1" applyBorder="1"/>
    <xf numFmtId="37" fontId="32" fillId="86" borderId="50" xfId="25456" applyNumberFormat="1" applyFont="1" applyFill="1" applyBorder="1"/>
    <xf numFmtId="5" fontId="32" fillId="0" borderId="112" xfId="25456" applyNumberFormat="1" applyFont="1" applyFill="1" applyBorder="1"/>
    <xf numFmtId="5" fontId="123" fillId="0" borderId="139" xfId="25455" applyNumberFormat="1" applyFont="1" applyBorder="1"/>
    <xf numFmtId="0" fontId="32" fillId="0" borderId="0" xfId="25798" applyFont="1" applyAlignment="1">
      <alignment horizontal="center"/>
    </xf>
    <xf numFmtId="0" fontId="160" fillId="0" borderId="0" xfId="1" applyFont="1" applyFill="1" applyBorder="1" applyAlignment="1">
      <alignment horizontal="left"/>
    </xf>
    <xf numFmtId="0" fontId="161" fillId="0" borderId="0" xfId="1" applyFont="1" applyFill="1" applyBorder="1" applyAlignment="1">
      <alignment horizontal="left"/>
    </xf>
    <xf numFmtId="0" fontId="161" fillId="0" borderId="0" xfId="1" quotePrefix="1" applyFont="1" applyFill="1" applyBorder="1" applyAlignment="1">
      <alignment horizontal="left"/>
    </xf>
    <xf numFmtId="0" fontId="161" fillId="0" borderId="0" xfId="1" applyFont="1"/>
    <xf numFmtId="0" fontId="161" fillId="0" borderId="0" xfId="1" applyFont="1" applyBorder="1"/>
    <xf numFmtId="0" fontId="153" fillId="0" borderId="0" xfId="0" applyFont="1" applyFill="1"/>
    <xf numFmtId="0" fontId="43" fillId="0" borderId="0" xfId="1" applyFont="1" applyFill="1" applyBorder="1"/>
    <xf numFmtId="0" fontId="43" fillId="0" borderId="0" xfId="1" applyFont="1" applyBorder="1"/>
    <xf numFmtId="14" fontId="43" fillId="0" borderId="0" xfId="1" applyNumberFormat="1" applyFont="1" applyFill="1" applyBorder="1" applyAlignment="1">
      <alignment horizontal="center"/>
    </xf>
    <xf numFmtId="0" fontId="43" fillId="0" borderId="0" xfId="1" applyFont="1" applyBorder="1" applyAlignment="1">
      <alignment horizontal="center"/>
    </xf>
    <xf numFmtId="0" fontId="43" fillId="0" borderId="0" xfId="1" applyFont="1" applyBorder="1" applyAlignment="1"/>
    <xf numFmtId="0" fontId="43" fillId="0" borderId="0" xfId="1" quotePrefix="1" applyFont="1" applyBorder="1" applyAlignment="1">
      <alignment horizontal="center"/>
    </xf>
    <xf numFmtId="0" fontId="43" fillId="0" borderId="0" xfId="1" applyFont="1" applyFill="1" applyBorder="1" applyAlignment="1">
      <alignment horizontal="center"/>
    </xf>
    <xf numFmtId="0" fontId="43" fillId="0" borderId="85" xfId="1" applyFont="1" applyFill="1" applyBorder="1" applyAlignment="1">
      <alignment horizontal="center"/>
    </xf>
    <xf numFmtId="0" fontId="43" fillId="0" borderId="85" xfId="1" applyFont="1" applyBorder="1" applyAlignment="1">
      <alignment horizontal="center"/>
    </xf>
    <xf numFmtId="0" fontId="160" fillId="0" borderId="0" xfId="1" applyFont="1" applyBorder="1"/>
    <xf numFmtId="49" fontId="43" fillId="0" borderId="0" xfId="1" applyNumberFormat="1" applyFont="1" applyBorder="1" applyAlignment="1">
      <alignment horizontal="center"/>
    </xf>
    <xf numFmtId="183" fontId="43" fillId="0" borderId="0" xfId="3" applyNumberFormat="1" applyFont="1" applyBorder="1">
      <alignment horizontal="right"/>
    </xf>
    <xf numFmtId="0" fontId="43" fillId="0" borderId="0" xfId="25798" applyFont="1" applyBorder="1" applyAlignment="1">
      <alignment horizontal="center"/>
    </xf>
    <xf numFmtId="0" fontId="43" fillId="0" borderId="0" xfId="1" applyFont="1" applyFill="1" applyBorder="1" applyProtection="1"/>
    <xf numFmtId="41" fontId="43" fillId="0" borderId="0" xfId="3" applyNumberFormat="1" applyFont="1" applyFill="1" applyBorder="1" applyProtection="1">
      <alignment horizontal="right"/>
    </xf>
    <xf numFmtId="41" fontId="43" fillId="0" borderId="0" xfId="1" applyNumberFormat="1" applyFont="1" applyFill="1" applyBorder="1"/>
    <xf numFmtId="41" fontId="43" fillId="0" borderId="0" xfId="2" applyNumberFormat="1" applyFont="1" applyFill="1" applyBorder="1"/>
    <xf numFmtId="41" fontId="43" fillId="0" borderId="0" xfId="3" applyNumberFormat="1" applyFont="1" applyFill="1" applyBorder="1">
      <alignment horizontal="right"/>
    </xf>
    <xf numFmtId="38" fontId="43" fillId="0" borderId="0" xfId="1" applyNumberFormat="1" applyFont="1" applyBorder="1"/>
    <xf numFmtId="5" fontId="43" fillId="0" borderId="0" xfId="3" applyNumberFormat="1" applyFont="1" applyBorder="1">
      <alignment horizontal="right"/>
    </xf>
    <xf numFmtId="38" fontId="43" fillId="0" borderId="0" xfId="2" applyNumberFormat="1" applyFont="1" applyFill="1" applyBorder="1" applyProtection="1"/>
    <xf numFmtId="41" fontId="43" fillId="0" borderId="0" xfId="2" applyNumberFormat="1" applyFont="1" applyFill="1" applyBorder="1" applyProtection="1"/>
    <xf numFmtId="37" fontId="43" fillId="0" borderId="0" xfId="2" applyNumberFormat="1" applyFont="1" applyBorder="1"/>
    <xf numFmtId="41" fontId="43" fillId="0" borderId="85" xfId="2" applyNumberFormat="1" applyFont="1" applyFill="1" applyBorder="1" applyProtection="1"/>
    <xf numFmtId="41" fontId="43" fillId="0" borderId="85" xfId="2" applyNumberFormat="1" applyFont="1" applyFill="1" applyBorder="1"/>
    <xf numFmtId="41" fontId="43" fillId="0" borderId="85" xfId="3" applyNumberFormat="1" applyFont="1" applyFill="1" applyBorder="1">
      <alignment horizontal="right"/>
    </xf>
    <xf numFmtId="0" fontId="160" fillId="0" borderId="0" xfId="1" applyFont="1" applyFill="1" applyBorder="1" applyProtection="1"/>
    <xf numFmtId="167" fontId="153" fillId="0" borderId="0" xfId="25795" applyNumberFormat="1" applyFont="1"/>
    <xf numFmtId="0" fontId="43" fillId="0" borderId="0" xfId="24545" applyFont="1" applyFill="1" applyBorder="1" applyAlignment="1">
      <alignment horizontal="left" indent="1"/>
    </xf>
    <xf numFmtId="165" fontId="43" fillId="0" borderId="0" xfId="2" applyNumberFormat="1" applyFont="1" applyBorder="1"/>
    <xf numFmtId="0" fontId="160" fillId="0" borderId="0" xfId="1" applyFont="1" applyFill="1" applyBorder="1"/>
    <xf numFmtId="41" fontId="43" fillId="0" borderId="49" xfId="3" applyNumberFormat="1" applyFont="1" applyFill="1" applyBorder="1">
      <alignment horizontal="right"/>
    </xf>
    <xf numFmtId="0" fontId="43" fillId="0" borderId="0" xfId="1" applyFont="1" applyFill="1" applyBorder="1" applyAlignment="1">
      <alignment horizontal="left"/>
    </xf>
    <xf numFmtId="10" fontId="43" fillId="0" borderId="0" xfId="25795" applyNumberFormat="1" applyFont="1" applyFill="1" applyBorder="1"/>
    <xf numFmtId="41" fontId="43" fillId="0" borderId="0" xfId="4" applyNumberFormat="1" applyFont="1" applyFill="1" applyBorder="1"/>
    <xf numFmtId="41" fontId="160" fillId="0" borderId="0" xfId="25798" applyNumberFormat="1" applyFont="1" applyFill="1" applyBorder="1"/>
    <xf numFmtId="10" fontId="43" fillId="0" borderId="0" xfId="4" applyNumberFormat="1" applyFont="1" applyFill="1" applyBorder="1"/>
    <xf numFmtId="0" fontId="43" fillId="0" borderId="0" xfId="1" applyFont="1"/>
    <xf numFmtId="0" fontId="160" fillId="0" borderId="0" xfId="25798" applyFont="1"/>
    <xf numFmtId="0" fontId="43" fillId="0" borderId="0" xfId="25798" applyFont="1" applyAlignment="1">
      <alignment horizontal="center"/>
    </xf>
    <xf numFmtId="0" fontId="161" fillId="0" borderId="0" xfId="25798" applyFont="1" applyFill="1" applyBorder="1"/>
    <xf numFmtId="0" fontId="161" fillId="0" borderId="0" xfId="25798" applyFont="1" applyBorder="1"/>
    <xf numFmtId="0" fontId="160" fillId="0" borderId="0" xfId="25798" applyFont="1" applyBorder="1"/>
    <xf numFmtId="0" fontId="161" fillId="0" borderId="0" xfId="25798" applyFont="1"/>
    <xf numFmtId="0" fontId="154" fillId="0" borderId="0" xfId="0" applyFont="1"/>
    <xf numFmtId="0" fontId="154" fillId="0" borderId="0" xfId="0" applyFont="1" applyAlignment="1">
      <alignment horizontal="center"/>
    </xf>
    <xf numFmtId="0" fontId="154" fillId="0" borderId="0" xfId="0" applyFont="1" applyBorder="1" applyAlignment="1">
      <alignment horizontal="center"/>
    </xf>
    <xf numFmtId="0" fontId="154" fillId="0" borderId="85" xfId="0" applyFont="1" applyBorder="1" applyAlignment="1">
      <alignment horizontal="center"/>
    </xf>
    <xf numFmtId="0" fontId="162" fillId="0" borderId="0" xfId="0" applyFont="1" applyBorder="1" applyAlignment="1">
      <alignment horizontal="center"/>
    </xf>
    <xf numFmtId="44" fontId="153" fillId="0" borderId="0" xfId="25747" applyFont="1" applyFill="1"/>
    <xf numFmtId="44" fontId="153" fillId="0" borderId="0" xfId="0" applyNumberFormat="1" applyFont="1"/>
    <xf numFmtId="44" fontId="153" fillId="0" borderId="0" xfId="0" applyNumberFormat="1" applyFont="1" applyBorder="1"/>
    <xf numFmtId="44" fontId="154" fillId="0" borderId="79" xfId="0" applyNumberFormat="1" applyFont="1" applyBorder="1"/>
    <xf numFmtId="0" fontId="153" fillId="0" borderId="85" xfId="0" applyFont="1" applyFill="1" applyBorder="1" applyAlignment="1">
      <alignment horizontal="center"/>
    </xf>
    <xf numFmtId="0" fontId="153" fillId="0" borderId="85" xfId="0" applyFont="1" applyBorder="1" applyAlignment="1">
      <alignment horizontal="center"/>
    </xf>
    <xf numFmtId="0" fontId="163" fillId="0" borderId="0" xfId="0" applyFont="1"/>
    <xf numFmtId="206" fontId="67" fillId="0" borderId="0" xfId="25798" applyNumberFormat="1" applyFont="1"/>
    <xf numFmtId="0" fontId="150" fillId="96" borderId="0" xfId="25798" applyFont="1" applyFill="1" applyAlignment="1">
      <alignment vertical="center"/>
    </xf>
    <xf numFmtId="0" fontId="157" fillId="96" borderId="0" xfId="0" applyFont="1" applyFill="1" applyBorder="1" applyAlignment="1">
      <alignment vertical="center"/>
    </xf>
    <xf numFmtId="0" fontId="164" fillId="96" borderId="0" xfId="0" applyFont="1" applyFill="1" applyBorder="1" applyAlignment="1">
      <alignment horizontal="center" vertical="center"/>
    </xf>
    <xf numFmtId="0" fontId="164" fillId="96" borderId="0" xfId="0" applyFont="1" applyFill="1" applyBorder="1" applyAlignment="1">
      <alignment horizontal="left" vertical="center"/>
    </xf>
    <xf numFmtId="0" fontId="165" fillId="96" borderId="0" xfId="0" applyFont="1" applyFill="1" applyBorder="1" applyAlignment="1">
      <alignment vertical="center"/>
    </xf>
    <xf numFmtId="0" fontId="164" fillId="96" borderId="0" xfId="0" quotePrefix="1" applyFont="1" applyFill="1" applyBorder="1" applyAlignment="1">
      <alignment horizontal="centerContinuous" vertical="center"/>
    </xf>
    <xf numFmtId="41" fontId="165" fillId="96" borderId="0" xfId="0" applyNumberFormat="1" applyFont="1" applyFill="1" applyBorder="1" applyAlignment="1">
      <alignment horizontal="centerContinuous" vertical="center"/>
    </xf>
    <xf numFmtId="0" fontId="123" fillId="0" borderId="0" xfId="25295" applyFont="1" applyFill="1" applyAlignment="1">
      <alignment horizontal="center"/>
    </xf>
    <xf numFmtId="0" fontId="125" fillId="0" borderId="76" xfId="0" applyFont="1" applyFill="1" applyBorder="1" applyAlignment="1">
      <alignment horizontal="center"/>
    </xf>
    <xf numFmtId="0" fontId="123" fillId="0" borderId="75" xfId="25295" applyFont="1" applyFill="1" applyBorder="1"/>
    <xf numFmtId="0" fontId="32" fillId="0" borderId="57" xfId="25295" applyFont="1" applyFill="1" applyBorder="1"/>
    <xf numFmtId="0" fontId="32" fillId="0" borderId="57" xfId="25295" applyFont="1" applyFill="1" applyBorder="1" applyAlignment="1">
      <alignment horizontal="center"/>
    </xf>
    <xf numFmtId="0" fontId="32" fillId="0" borderId="77" xfId="25295" applyFont="1" applyFill="1" applyBorder="1" applyAlignment="1">
      <alignment horizontal="center"/>
    </xf>
    <xf numFmtId="0" fontId="124" fillId="0" borderId="31" xfId="0" applyFont="1" applyFill="1" applyBorder="1" applyAlignment="1">
      <alignment horizontal="center"/>
    </xf>
    <xf numFmtId="0" fontId="32" fillId="0" borderId="11" xfId="25295" applyFont="1" applyFill="1" applyBorder="1" applyAlignment="1">
      <alignment horizontal="center"/>
    </xf>
    <xf numFmtId="0" fontId="32" fillId="0" borderId="0" xfId="25295" applyFont="1" applyFill="1" applyBorder="1" applyAlignment="1">
      <alignment horizontal="left"/>
    </xf>
    <xf numFmtId="10" fontId="32" fillId="0" borderId="0" xfId="25292" applyNumberFormat="1" applyFont="1" applyFill="1" applyBorder="1" applyAlignment="1">
      <alignment horizontal="center"/>
    </xf>
    <xf numFmtId="166" fontId="32" fillId="0" borderId="0" xfId="25292" applyNumberFormat="1" applyFont="1" applyFill="1" applyBorder="1" applyAlignment="1">
      <alignment horizontal="center"/>
    </xf>
    <xf numFmtId="166" fontId="32" fillId="0" borderId="0" xfId="25292" applyNumberFormat="1" applyFont="1" applyFill="1" applyBorder="1"/>
    <xf numFmtId="166" fontId="32" fillId="0" borderId="11" xfId="25292" applyNumberFormat="1" applyFont="1" applyFill="1" applyBorder="1"/>
    <xf numFmtId="10" fontId="32" fillId="0" borderId="17" xfId="25292" applyNumberFormat="1" applyFont="1" applyFill="1" applyBorder="1" applyAlignment="1">
      <alignment horizontal="center"/>
    </xf>
    <xf numFmtId="166" fontId="123" fillId="0" borderId="16" xfId="25292" applyNumberFormat="1" applyFont="1" applyFill="1" applyBorder="1"/>
    <xf numFmtId="0" fontId="32" fillId="0" borderId="50" xfId="25295" applyFont="1" applyFill="1" applyBorder="1" applyAlignment="1">
      <alignment horizontal="center"/>
    </xf>
    <xf numFmtId="0" fontId="32" fillId="0" borderId="51" xfId="25295" applyFont="1" applyFill="1" applyBorder="1"/>
    <xf numFmtId="0" fontId="32" fillId="0" borderId="52" xfId="25295" applyFont="1" applyFill="1" applyBorder="1"/>
    <xf numFmtId="0" fontId="126" fillId="0" borderId="0" xfId="0" applyFont="1" applyFill="1" applyAlignment="1">
      <alignment horizontal="left"/>
    </xf>
    <xf numFmtId="3" fontId="124" fillId="89" borderId="30" xfId="0" applyNumberFormat="1" applyFont="1" applyFill="1" applyBorder="1" applyAlignment="1">
      <alignment horizontal="center"/>
    </xf>
    <xf numFmtId="165" fontId="124" fillId="89" borderId="0" xfId="0" applyNumberFormat="1" applyFont="1" applyFill="1"/>
    <xf numFmtId="3" fontId="124" fillId="89" borderId="0" xfId="0" applyNumberFormat="1" applyFont="1" applyFill="1" applyAlignment="1">
      <alignment horizontal="center"/>
    </xf>
    <xf numFmtId="165" fontId="124" fillId="89" borderId="0" xfId="25768" applyNumberFormat="1" applyFont="1" applyFill="1" applyAlignment="1">
      <alignment horizontal="center"/>
    </xf>
    <xf numFmtId="165" fontId="32" fillId="89" borderId="0" xfId="0" applyNumberFormat="1" applyFont="1" applyFill="1"/>
    <xf numFmtId="191" fontId="32" fillId="89" borderId="0" xfId="0" applyNumberFormat="1" applyFont="1" applyFill="1"/>
    <xf numFmtId="0" fontId="123" fillId="0" borderId="0" xfId="25799" applyFont="1" applyFill="1" applyBorder="1" applyAlignment="1"/>
    <xf numFmtId="0" fontId="123" fillId="0" borderId="0" xfId="25799" applyFont="1" applyFill="1" applyBorder="1" applyAlignment="1">
      <alignment horizontal="center"/>
    </xf>
    <xf numFmtId="0" fontId="42" fillId="0" borderId="0" xfId="25800" applyFont="1" applyFill="1"/>
    <xf numFmtId="38" fontId="126" fillId="0" borderId="0" xfId="0" applyNumberFormat="1" applyFont="1"/>
    <xf numFmtId="38" fontId="124" fillId="90" borderId="0" xfId="0" applyNumberFormat="1" applyFont="1" applyFill="1"/>
    <xf numFmtId="0" fontId="166" fillId="0" borderId="0" xfId="0" applyFont="1"/>
    <xf numFmtId="6" fontId="126" fillId="103" borderId="13" xfId="0" applyNumberFormat="1" applyFont="1" applyFill="1" applyBorder="1"/>
    <xf numFmtId="165" fontId="124" fillId="104" borderId="0" xfId="25744" applyNumberFormat="1" applyFont="1" applyFill="1" applyAlignment="1">
      <alignment horizontal="center"/>
    </xf>
    <xf numFmtId="49" fontId="123" fillId="0" borderId="0" xfId="25801" applyNumberFormat="1" applyFont="1" applyFill="1" applyBorder="1" applyAlignment="1">
      <alignment horizontal="center"/>
    </xf>
    <xf numFmtId="38" fontId="124" fillId="100" borderId="0" xfId="0" applyNumberFormat="1" applyFont="1" applyFill="1"/>
    <xf numFmtId="49" fontId="32" fillId="0" borderId="0" xfId="25801" applyNumberFormat="1" applyFont="1" applyFill="1" applyBorder="1" applyAlignment="1">
      <alignment horizontal="right"/>
    </xf>
    <xf numFmtId="5" fontId="124" fillId="90" borderId="0" xfId="0" applyNumberFormat="1" applyFont="1" applyFill="1"/>
    <xf numFmtId="6" fontId="126" fillId="103" borderId="74" xfId="0" applyNumberFormat="1" applyFont="1" applyFill="1" applyBorder="1"/>
    <xf numFmtId="38" fontId="124" fillId="104" borderId="0" xfId="0" applyNumberFormat="1" applyFont="1" applyFill="1"/>
    <xf numFmtId="0" fontId="128" fillId="0" borderId="0" xfId="0" applyFont="1"/>
    <xf numFmtId="44" fontId="32" fillId="0" borderId="125" xfId="25457" applyNumberFormat="1" applyFont="1" applyFill="1" applyBorder="1">
      <alignment horizontal="right"/>
    </xf>
    <xf numFmtId="207" fontId="153" fillId="0" borderId="0" xfId="0" applyNumberFormat="1" applyFont="1"/>
    <xf numFmtId="0" fontId="167" fillId="0" borderId="0" xfId="0" applyFont="1"/>
    <xf numFmtId="41" fontId="167" fillId="0" borderId="0" xfId="0" applyNumberFormat="1" applyFont="1"/>
    <xf numFmtId="10" fontId="167" fillId="0" borderId="0" xfId="25795" applyNumberFormat="1" applyFont="1"/>
    <xf numFmtId="6" fontId="157" fillId="0" borderId="0" xfId="0" applyNumberFormat="1" applyFont="1"/>
    <xf numFmtId="9" fontId="157" fillId="0" borderId="0" xfId="0" applyNumberFormat="1" applyFont="1"/>
    <xf numFmtId="41" fontId="67" fillId="0" borderId="0" xfId="0" applyNumberFormat="1" applyFont="1"/>
    <xf numFmtId="6" fontId="157" fillId="0" borderId="85" xfId="0" applyNumberFormat="1" applyFont="1" applyBorder="1"/>
    <xf numFmtId="0" fontId="157" fillId="0" borderId="0" xfId="0" applyFont="1" applyAlignment="1">
      <alignment horizontal="left" indent="2"/>
    </xf>
    <xf numFmtId="0" fontId="167" fillId="0" borderId="0" xfId="0" applyFont="1" applyAlignment="1">
      <alignment horizontal="center"/>
    </xf>
    <xf numFmtId="0" fontId="168" fillId="96" borderId="0" xfId="0" applyFont="1" applyFill="1" applyBorder="1" applyAlignment="1">
      <alignment horizontal="center"/>
    </xf>
    <xf numFmtId="0" fontId="169" fillId="96" borderId="0" xfId="0" applyFont="1" applyFill="1" applyBorder="1"/>
    <xf numFmtId="0" fontId="169" fillId="96" borderId="0" xfId="0" applyFont="1" applyFill="1" applyBorder="1" applyAlignment="1">
      <alignment horizontal="left" indent="1"/>
    </xf>
    <xf numFmtId="41" fontId="169" fillId="96" borderId="0" xfId="0" applyNumberFormat="1" applyFont="1" applyFill="1" applyBorder="1"/>
    <xf numFmtId="41" fontId="168" fillId="96" borderId="0" xfId="0" applyNumberFormat="1" applyFont="1" applyFill="1" applyBorder="1"/>
    <xf numFmtId="0" fontId="161" fillId="0" borderId="0" xfId="1" quotePrefix="1" applyFont="1" applyFill="1" applyBorder="1" applyAlignment="1">
      <alignment horizontal="left"/>
    </xf>
    <xf numFmtId="0" fontId="160" fillId="0" borderId="0" xfId="1" applyFont="1" applyFill="1" applyBorder="1" applyAlignment="1">
      <alignment horizontal="left"/>
    </xf>
    <xf numFmtId="0" fontId="161" fillId="0" borderId="0" xfId="1" applyFont="1" applyFill="1" applyBorder="1" applyAlignment="1">
      <alignment horizontal="left"/>
    </xf>
    <xf numFmtId="49" fontId="123" fillId="0" borderId="0" xfId="25293" applyNumberFormat="1" applyFont="1" applyFill="1" applyBorder="1" applyAlignment="1">
      <alignment horizontal="center"/>
    </xf>
    <xf numFmtId="0" fontId="123" fillId="0" borderId="0" xfId="24690" applyFont="1" applyFill="1" applyBorder="1" applyAlignment="1">
      <alignment horizontal="center"/>
    </xf>
    <xf numFmtId="0" fontId="123" fillId="92" borderId="50" xfId="0" applyFont="1" applyFill="1" applyBorder="1" applyAlignment="1">
      <alignment horizontal="left"/>
    </xf>
    <xf numFmtId="0" fontId="123" fillId="92" borderId="52" xfId="0" applyFont="1" applyFill="1" applyBorder="1" applyAlignment="1">
      <alignment horizontal="left"/>
    </xf>
    <xf numFmtId="39" fontId="123" fillId="0" borderId="31"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2" borderId="76" xfId="0" applyFont="1" applyFill="1" applyBorder="1" applyAlignment="1">
      <alignment horizontal="left" vertical="center"/>
    </xf>
    <xf numFmtId="0" fontId="123" fillId="92" borderId="77" xfId="0" applyFont="1" applyFill="1" applyBorder="1" applyAlignment="1">
      <alignment horizontal="left" vertical="center"/>
    </xf>
    <xf numFmtId="0" fontId="123" fillId="92" borderId="31" xfId="0" applyFont="1" applyFill="1" applyBorder="1" applyAlignment="1">
      <alignment horizontal="left" vertical="center"/>
    </xf>
    <xf numFmtId="0" fontId="123" fillId="92" borderId="11" xfId="0" applyFont="1" applyFill="1" applyBorder="1" applyAlignment="1">
      <alignment horizontal="left" vertical="center"/>
    </xf>
    <xf numFmtId="0" fontId="123" fillId="93" borderId="80" xfId="0" applyFont="1" applyFill="1" applyBorder="1" applyAlignment="1">
      <alignment horizontal="center"/>
    </xf>
    <xf numFmtId="0" fontId="123" fillId="93" borderId="49" xfId="0" applyFont="1" applyFill="1" applyBorder="1" applyAlignment="1">
      <alignment horizontal="center"/>
    </xf>
    <xf numFmtId="0" fontId="123" fillId="93" borderId="76" xfId="0" applyFont="1" applyFill="1" applyBorder="1" applyAlignment="1">
      <alignment horizontal="center"/>
    </xf>
    <xf numFmtId="0" fontId="123" fillId="93" borderId="75" xfId="0" applyFont="1" applyFill="1" applyBorder="1" applyAlignment="1">
      <alignment horizontal="center"/>
    </xf>
    <xf numFmtId="0" fontId="123" fillId="93" borderId="77" xfId="0" applyFont="1" applyFill="1" applyBorder="1" applyAlignment="1">
      <alignment horizontal="center"/>
    </xf>
    <xf numFmtId="0" fontId="130" fillId="0" borderId="75" xfId="0" applyFont="1" applyBorder="1" applyAlignment="1">
      <alignment horizontal="left"/>
    </xf>
    <xf numFmtId="0" fontId="130" fillId="0" borderId="49" xfId="0" applyFont="1" applyBorder="1" applyAlignment="1">
      <alignment horizontal="left"/>
    </xf>
    <xf numFmtId="0" fontId="124" fillId="0" borderId="0" xfId="0" applyFont="1" applyAlignment="1">
      <alignment horizontal="center" wrapText="1"/>
    </xf>
    <xf numFmtId="0" fontId="141" fillId="0" borderId="92" xfId="0" applyFont="1" applyBorder="1" applyAlignment="1">
      <alignment horizontal="center" vertical="center" wrapText="1"/>
    </xf>
    <xf numFmtId="0" fontId="141" fillId="0" borderId="93" xfId="0" applyFont="1" applyBorder="1" applyAlignment="1">
      <alignment horizontal="center" vertical="center" wrapText="1"/>
    </xf>
    <xf numFmtId="0" fontId="141" fillId="0" borderId="94" xfId="0" applyFont="1" applyBorder="1" applyAlignment="1">
      <alignment horizontal="center" vertical="center" wrapText="1"/>
    </xf>
    <xf numFmtId="0" fontId="141" fillId="0" borderId="88" xfId="0" applyFont="1" applyBorder="1" applyAlignment="1">
      <alignment horizontal="center" vertical="center" wrapText="1"/>
    </xf>
    <xf numFmtId="0" fontId="141" fillId="0" borderId="0" xfId="0" applyFont="1" applyBorder="1" applyAlignment="1">
      <alignment horizontal="center" vertical="center" wrapText="1"/>
    </xf>
    <xf numFmtId="0" fontId="141" fillId="0" borderId="89" xfId="0" applyFont="1" applyBorder="1" applyAlignment="1">
      <alignment horizontal="center" vertical="center" wrapText="1"/>
    </xf>
    <xf numFmtId="0" fontId="141" fillId="0" borderId="95" xfId="0" applyFont="1" applyBorder="1" applyAlignment="1">
      <alignment horizontal="center" vertical="center" wrapText="1"/>
    </xf>
    <xf numFmtId="0" fontId="141" fillId="0" borderId="45" xfId="0" applyFont="1" applyBorder="1" applyAlignment="1">
      <alignment horizontal="center" vertical="center" wrapText="1"/>
    </xf>
    <xf numFmtId="0" fontId="141" fillId="0" borderId="96" xfId="0" applyFont="1" applyBorder="1" applyAlignment="1">
      <alignment horizontal="center" vertical="center" wrapText="1"/>
    </xf>
    <xf numFmtId="0" fontId="131" fillId="0" borderId="88" xfId="0" applyFont="1" applyBorder="1" applyAlignment="1">
      <alignment horizontal="left"/>
    </xf>
    <xf numFmtId="0" fontId="131" fillId="0" borderId="0" xfId="0" applyFont="1" applyBorder="1" applyAlignment="1">
      <alignment horizontal="left"/>
    </xf>
    <xf numFmtId="0" fontId="131" fillId="0" borderId="89" xfId="0" applyFont="1" applyBorder="1" applyAlignment="1">
      <alignment horizontal="left"/>
    </xf>
    <xf numFmtId="0" fontId="124" fillId="33" borderId="93" xfId="0" applyFont="1" applyFill="1" applyBorder="1" applyAlignment="1">
      <alignment horizontal="right"/>
    </xf>
    <xf numFmtId="0" fontId="124" fillId="33" borderId="94" xfId="0" applyFont="1" applyFill="1" applyBorder="1" applyAlignment="1">
      <alignment horizontal="right"/>
    </xf>
    <xf numFmtId="0" fontId="124" fillId="33" borderId="0" xfId="0" applyFont="1" applyFill="1" applyBorder="1" applyAlignment="1">
      <alignment horizontal="right"/>
    </xf>
    <xf numFmtId="0" fontId="124" fillId="33" borderId="89" xfId="0" applyFont="1" applyFill="1" applyBorder="1" applyAlignment="1">
      <alignment horizontal="right"/>
    </xf>
    <xf numFmtId="0" fontId="126" fillId="0" borderId="0" xfId="0" applyFont="1" applyAlignment="1">
      <alignment horizontal="center"/>
    </xf>
    <xf numFmtId="0" fontId="123" fillId="0" borderId="0" xfId="0" applyFont="1" applyAlignment="1">
      <alignment horizontal="center"/>
    </xf>
    <xf numFmtId="0" fontId="32" fillId="0" borderId="0" xfId="0" applyFont="1" applyAlignment="1">
      <alignment horizontal="center" wrapText="1"/>
    </xf>
    <xf numFmtId="0" fontId="32" fillId="0" borderId="85" xfId="0" applyFont="1" applyBorder="1" applyAlignment="1">
      <alignment horizontal="center" wrapText="1"/>
    </xf>
    <xf numFmtId="0" fontId="126" fillId="0" borderId="92" xfId="0" applyFont="1" applyBorder="1" applyAlignment="1">
      <alignment vertical="center"/>
    </xf>
    <xf numFmtId="0" fontId="126" fillId="0" borderId="93" xfId="0" applyFont="1" applyBorder="1" applyAlignment="1">
      <alignment vertical="center"/>
    </xf>
    <xf numFmtId="0" fontId="126" fillId="0" borderId="94" xfId="0" applyFont="1" applyBorder="1" applyAlignment="1">
      <alignment vertical="center"/>
    </xf>
    <xf numFmtId="0" fontId="126" fillId="0" borderId="88" xfId="0" applyFont="1" applyBorder="1" applyAlignment="1">
      <alignment vertical="center"/>
    </xf>
    <xf numFmtId="0" fontId="126" fillId="0" borderId="0" xfId="0" applyFont="1" applyBorder="1" applyAlignment="1">
      <alignment vertical="center"/>
    </xf>
    <xf numFmtId="0" fontId="126" fillId="0" borderId="89" xfId="0" applyFont="1" applyBorder="1" applyAlignment="1">
      <alignment vertical="center"/>
    </xf>
    <xf numFmtId="0" fontId="126" fillId="0" borderId="95" xfId="0" applyFont="1" applyBorder="1" applyAlignment="1">
      <alignment vertical="center"/>
    </xf>
    <xf numFmtId="0" fontId="126" fillId="0" borderId="45" xfId="0" applyFont="1" applyBorder="1" applyAlignment="1">
      <alignment vertical="center"/>
    </xf>
    <xf numFmtId="0" fontId="126" fillId="0" borderId="96" xfId="0" applyFont="1" applyBorder="1" applyAlignment="1">
      <alignment vertical="center"/>
    </xf>
    <xf numFmtId="0" fontId="124" fillId="0" borderId="0" xfId="0" applyFont="1" applyAlignment="1">
      <alignment vertical="center" wrapText="1"/>
    </xf>
    <xf numFmtId="0" fontId="144" fillId="0" borderId="0" xfId="24690" applyFont="1" applyFill="1" applyBorder="1" applyAlignment="1">
      <alignment horizontal="center"/>
    </xf>
    <xf numFmtId="0" fontId="123" fillId="33" borderId="10" xfId="24690" applyFont="1" applyFill="1" applyBorder="1" applyAlignment="1">
      <alignment horizontal="center"/>
    </xf>
    <xf numFmtId="0" fontId="123" fillId="33" borderId="68" xfId="24690" applyFont="1" applyFill="1" applyBorder="1" applyAlignment="1">
      <alignment horizontal="center"/>
    </xf>
    <xf numFmtId="0" fontId="123" fillId="33" borderId="67" xfId="24690" applyFont="1" applyFill="1" applyBorder="1" applyAlignment="1">
      <alignment horizontal="center"/>
    </xf>
    <xf numFmtId="0" fontId="123" fillId="33" borderId="31" xfId="24690" applyFont="1" applyFill="1" applyBorder="1" applyAlignment="1">
      <alignment horizontal="center"/>
    </xf>
    <xf numFmtId="0" fontId="123" fillId="33" borderId="0" xfId="24690" applyFont="1" applyFill="1" applyBorder="1" applyAlignment="1">
      <alignment horizontal="center"/>
    </xf>
    <xf numFmtId="0" fontId="123" fillId="33" borderId="11" xfId="24690" applyFont="1" applyFill="1" applyBorder="1" applyAlignment="1">
      <alignment horizontal="center"/>
    </xf>
    <xf numFmtId="49" fontId="123" fillId="33" borderId="50" xfId="24690" applyNumberFormat="1" applyFont="1" applyFill="1" applyBorder="1" applyAlignment="1">
      <alignment horizontal="center"/>
    </xf>
    <xf numFmtId="49" fontId="123" fillId="33" borderId="51" xfId="24690" applyNumberFormat="1" applyFont="1" applyFill="1" applyBorder="1" applyAlignment="1">
      <alignment horizontal="center"/>
    </xf>
    <xf numFmtId="49" fontId="123" fillId="33" borderId="52" xfId="24690" applyNumberFormat="1" applyFont="1" applyFill="1" applyBorder="1" applyAlignment="1">
      <alignment horizontal="center"/>
    </xf>
    <xf numFmtId="0" fontId="123" fillId="0" borderId="0" xfId="25799" applyFont="1" applyFill="1" applyBorder="1" applyAlignment="1">
      <alignment horizontal="center"/>
    </xf>
  </cellXfs>
  <cellStyles count="25802">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4"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6"/>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8"/>
    <cellStyle name="Comma 2 2" xfId="21"/>
    <cellStyle name="Comma 2 2 2" xfId="398"/>
    <cellStyle name="Comma 2 2 2 2" xfId="637"/>
    <cellStyle name="Comma 2 2 2 3" xfId="636"/>
    <cellStyle name="Comma 2 2 2 4" xfId="25782"/>
    <cellStyle name="Comma 2 2 3" xfId="374"/>
    <cellStyle name="Comma 2 2 3 2" xfId="638"/>
    <cellStyle name="Comma 2 2 4" xfId="23898"/>
    <cellStyle name="Comma 2 2 5" xfId="25769"/>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3"/>
    <cellStyle name="Comma 2 4 3" xfId="25770"/>
    <cellStyle name="Comma 2 5" xfId="373"/>
    <cellStyle name="Comma 2 5 2" xfId="25784"/>
    <cellStyle name="Comma 2 5 3" xfId="25771"/>
    <cellStyle name="Comma 2 6" xfId="635"/>
    <cellStyle name="Comma 2 6 2" xfId="13906"/>
    <cellStyle name="Comma 2 6 3" xfId="25781"/>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9"/>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2"/>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9"/>
    <cellStyle name="Comma 54" xfId="25755"/>
    <cellStyle name="Comma 55" xfId="25756"/>
    <cellStyle name="Comma 56" xfId="25761"/>
    <cellStyle name="Comma 57" xfId="25762"/>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7"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5 2" xfId="25801"/>
    <cellStyle name="Currency 16" xfId="24306"/>
    <cellStyle name="Currency 17" xfId="24307"/>
    <cellStyle name="Currency 18" xfId="25457"/>
    <cellStyle name="Currency 2" xfId="29"/>
    <cellStyle name="Currency 2 10" xfId="24077"/>
    <cellStyle name="Currency 2 11" xfId="25753"/>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3"/>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6"/>
    <cellStyle name="Normal 10 11" xfId="25791"/>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3"/>
    <cellStyle name="Normal 101" xfId="25797"/>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2"/>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2 5" xfId="25798"/>
    <cellStyle name="Normal 2 3" xfId="165"/>
    <cellStyle name="Normal 2 3 2" xfId="421"/>
    <cellStyle name="Normal 2 3 2 2" xfId="25785"/>
    <cellStyle name="Normal 2 3 3" xfId="385"/>
    <cellStyle name="Normal 2 3 4" xfId="655"/>
    <cellStyle name="Normal 2 3 4 2" xfId="13910"/>
    <cellStyle name="Normal 2 4" xfId="656"/>
    <cellStyle name="Normal 2 4 2" xfId="3248"/>
    <cellStyle name="Normal 2 4 2 2" xfId="25786"/>
    <cellStyle name="Normal 2 4 3" xfId="25772"/>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80"/>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3"/>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7"/>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4"/>
    <cellStyle name="Normal 4 2" xfId="164"/>
    <cellStyle name="Normal 4 2 10" xfId="25788"/>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5"/>
    <cellStyle name="Normal 5 2" xfId="203"/>
    <cellStyle name="Normal 5 2 10" xfId="25789"/>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6"/>
    <cellStyle name="Normal 6 2" xfId="204"/>
    <cellStyle name="Normal 6 2 10" xfId="25046"/>
    <cellStyle name="Normal 6 2 11" xfId="25790"/>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6"/>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7"/>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8"/>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89 2" xfId="25799"/>
    <cellStyle name="Normal 9" xfId="60"/>
    <cellStyle name="Normal 9 10" xfId="24178"/>
    <cellStyle name="Normal 9 11" xfId="24747"/>
    <cellStyle name="Normal 9 12" xfId="25063"/>
    <cellStyle name="Normal 9 14" xfId="25767"/>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8"/>
    <cellStyle name="Normal 97" xfId="25754"/>
    <cellStyle name="Normal 98" xfId="25757"/>
    <cellStyle name="Normal 99" xfId="25759"/>
    <cellStyle name="Normal(0)" xfId="61"/>
    <cellStyle name="Normal_Advtise Exp" xfId="25742"/>
    <cellStyle name="Normal_Advtise Exp 2" xfId="25800"/>
    <cellStyle name="Normal_Jan 08" xfId="25745"/>
    <cellStyle name="Normal_Page 10 - Type I-4 Normalize Uncollectible Exp" xfId="25741"/>
    <cellStyle name="Normal_vcap1299" xfId="25743"/>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5"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50"/>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4"/>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51"/>
    <cellStyle name="Percent 52" xfId="25758"/>
    <cellStyle name="Percent 53" xfId="25760"/>
    <cellStyle name="Percent 54" xfId="25764"/>
    <cellStyle name="Percent 55" xfId="25765"/>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3C4870"/>
      <color rgb="FFFF3300"/>
      <color rgb="FFFFCFA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wrk/30_ava/3046-9%20-%202018%20GRC/init/I.%20UE_AVA%20Dir%20Evidence-(May17)/3.%20UE_AVA%20WP's%20(May17)/D.%20UE__Andrews%20WPs%20(AVA-May17)/Model%20Adjustments/1.00%20Results%20of%20Operations/12A-2016.12_Avista%20Electric%20Pul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apps.utc.wa.gov/Users/MWA1/AppData/Roaming/Microsoft/Excel/PC-45%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raig\RESULTS%20OF%20OPERATIONS\ROO%2012\98\roo%20databas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apps.utc.wa.gov/Dept/Rates/WEATHER%20DATA/Weather%20Normalization/2016/WA%2065%20HDD%20NOAA/2016-12%20WA%20Weather%20Normalization%2065%20HDD%20-%20Cop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apps.utc.wa.gov/wrk/30_ava/3046-8%20-%20UE-160228%202016%20GRC/disc/BR1/Attachment%20Bench%20Request%201/Exhibit%20No.%20BGM-13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apps.utc.wa.gov/Users/MWA1/AppData/Local/Temp/Temp1_UE-170485%20-%20ICNU-NWIGU%20Resp.%20Testimony%20and%20Exhibits.zip/UE-170485%20-%20ICNU-NWIGU%20Resp.%20Testimony%20and%20Exhibits/UE-170485-UG-170486_Exh.%20BGM-3_Mullins%20(ICNU-NWIGU)(10.27.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apps.utc.wa.gov/wrk/30_ava/3046-9%20-%202018%20GRC/init/I.%20UE_AVA%20Dir%20Evidence-(May17)/3.%20UE_AVA%20WP's%20(May17)/D.%20UE__Andrews%20WPs%20(AVA-May17)/Model%20Adjustments/1.00%20Results%20of%20Operations/12A-2016.12_Avista%20Gas%20North%20Pull.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apps.utc.wa.gov/wrk/15_cng/C1801%20-%20UG-170929/disc/in/WUTC-3%20NEW%20CNG%20Exh%20MPP%202-6%20and%20WP-1%208-31-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1801%20-%20UG-170929\c.ans\src\170929-Staff-Hillstead-Exh-KMH-2r-2-22-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apps.utc.wa.gov/wrk/15_cng/C1801%20-%20UG-170929/disc/in/PC-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OPS"/>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sheetData sheetId="1">
        <row r="2">
          <cell r="H2">
            <v>12</v>
          </cell>
        </row>
      </sheetData>
      <sheetData sheetId="2"/>
      <sheetData sheetId="3"/>
      <sheetData sheetId="4">
        <row r="7">
          <cell r="D7">
            <v>0</v>
          </cell>
          <cell r="E7">
            <v>0</v>
          </cell>
          <cell r="G7">
            <v>0</v>
          </cell>
          <cell r="H7">
            <v>0</v>
          </cell>
          <cell r="I7">
            <v>0</v>
          </cell>
          <cell r="J7">
            <v>0</v>
          </cell>
        </row>
        <row r="8">
          <cell r="C8">
            <v>1</v>
          </cell>
          <cell r="D8" t="str">
            <v>Input</v>
          </cell>
          <cell r="E8" t="str">
            <v>Production/Transmission  Ratio</v>
          </cell>
          <cell r="F8" t="str">
            <v>01-01-2016 thru 12-31-2016</v>
          </cell>
          <cell r="G8">
            <v>1</v>
          </cell>
          <cell r="H8">
            <v>0.6573</v>
          </cell>
          <cell r="I8">
            <v>0.3427</v>
          </cell>
          <cell r="J8" t="str">
            <v xml:space="preserve"> </v>
          </cell>
        </row>
        <row r="9">
          <cell r="C9">
            <v>0</v>
          </cell>
          <cell r="D9">
            <v>0</v>
          </cell>
          <cell r="E9">
            <v>0</v>
          </cell>
          <cell r="G9">
            <v>0</v>
          </cell>
          <cell r="H9">
            <v>0</v>
          </cell>
          <cell r="I9">
            <v>0</v>
          </cell>
          <cell r="J9">
            <v>0</v>
          </cell>
        </row>
        <row r="10">
          <cell r="C10">
            <v>0</v>
          </cell>
          <cell r="D10">
            <v>0</v>
          </cell>
          <cell r="E10">
            <v>0</v>
          </cell>
          <cell r="G10">
            <v>0</v>
          </cell>
          <cell r="H10">
            <v>0</v>
          </cell>
          <cell r="I10">
            <v>0</v>
          </cell>
          <cell r="J10">
            <v>0</v>
          </cell>
        </row>
        <row r="11">
          <cell r="D11" t="str">
            <v>Input</v>
          </cell>
          <cell r="E11" t="str">
            <v>Number of Customers - AMA</v>
          </cell>
          <cell r="F11" t="str">
            <v>01-01-2016 thru 12-31-2016</v>
          </cell>
          <cell r="G11">
            <v>374507</v>
          </cell>
          <cell r="H11">
            <v>245916</v>
          </cell>
          <cell r="I11">
            <v>128591</v>
          </cell>
          <cell r="J11">
            <v>0</v>
          </cell>
        </row>
        <row r="12">
          <cell r="C12">
            <v>2</v>
          </cell>
          <cell r="E12" t="str">
            <v xml:space="preserve">  Percent</v>
          </cell>
          <cell r="G12">
            <v>1</v>
          </cell>
          <cell r="H12">
            <v>0.65664</v>
          </cell>
          <cell r="I12">
            <v>0.34336</v>
          </cell>
          <cell r="J12">
            <v>0</v>
          </cell>
        </row>
        <row r="13">
          <cell r="C13">
            <v>0</v>
          </cell>
          <cell r="E13">
            <v>0</v>
          </cell>
          <cell r="G13">
            <v>0</v>
          </cell>
          <cell r="H13">
            <v>0</v>
          </cell>
          <cell r="I13">
            <v>0</v>
          </cell>
          <cell r="J13">
            <v>0</v>
          </cell>
        </row>
        <row r="14">
          <cell r="C14">
            <v>0</v>
          </cell>
          <cell r="D14">
            <v>0</v>
          </cell>
          <cell r="E14">
            <v>0</v>
          </cell>
          <cell r="G14">
            <v>0</v>
          </cell>
          <cell r="H14">
            <v>0</v>
          </cell>
          <cell r="I14">
            <v>0</v>
          </cell>
          <cell r="J14">
            <v>0</v>
          </cell>
        </row>
        <row r="15">
          <cell r="D15" t="str">
            <v>E-OPS</v>
          </cell>
          <cell r="E15" t="str">
            <v>Direct Distribution Operating Expense</v>
          </cell>
          <cell r="F15" t="str">
            <v>01-01-2016 thru 12-31-2016</v>
          </cell>
          <cell r="G15">
            <v>23251240</v>
          </cell>
          <cell r="H15">
            <v>15470596</v>
          </cell>
          <cell r="I15">
            <v>7780644</v>
          </cell>
          <cell r="J15">
            <v>0</v>
          </cell>
        </row>
        <row r="16">
          <cell r="C16">
            <v>3</v>
          </cell>
          <cell r="E16" t="str">
            <v xml:space="preserve">  Percent</v>
          </cell>
          <cell r="G16">
            <v>1</v>
          </cell>
          <cell r="H16">
            <v>0.66537000000000002</v>
          </cell>
          <cell r="I16">
            <v>0.33462999999999998</v>
          </cell>
          <cell r="J16">
            <v>0</v>
          </cell>
        </row>
        <row r="17">
          <cell r="C17">
            <v>0</v>
          </cell>
          <cell r="E17">
            <v>0</v>
          </cell>
          <cell r="G17">
            <v>0</v>
          </cell>
          <cell r="H17">
            <v>0</v>
          </cell>
          <cell r="I17">
            <v>0</v>
          </cell>
          <cell r="J17">
            <v>0</v>
          </cell>
        </row>
        <row r="18">
          <cell r="C18">
            <v>0</v>
          </cell>
          <cell r="D18">
            <v>0</v>
          </cell>
          <cell r="E18">
            <v>0</v>
          </cell>
          <cell r="G18">
            <v>0</v>
          </cell>
          <cell r="H18">
            <v>0</v>
          </cell>
          <cell r="I18">
            <v>0</v>
          </cell>
          <cell r="J18">
            <v>0</v>
          </cell>
        </row>
        <row r="19">
          <cell r="C19">
            <v>0</v>
          </cell>
          <cell r="D19" t="str">
            <v>Input</v>
          </cell>
          <cell r="E19" t="str">
            <v>Jurisdictional 4-Factor Ratio</v>
          </cell>
          <cell r="F19" t="str">
            <v>01-01-2016 thru 12-31-2016</v>
          </cell>
          <cell r="G19">
            <v>0</v>
          </cell>
          <cell r="H19">
            <v>0</v>
          </cell>
          <cell r="I19">
            <v>0</v>
          </cell>
          <cell r="J19">
            <v>0</v>
          </cell>
        </row>
        <row r="20">
          <cell r="C20">
            <v>0</v>
          </cell>
          <cell r="D20">
            <v>0</v>
          </cell>
          <cell r="E20" t="str">
            <v xml:space="preserve">   Direct O &amp; M Accts 500 - 598</v>
          </cell>
          <cell r="F20">
            <v>0</v>
          </cell>
          <cell r="G20">
            <v>19878625</v>
          </cell>
          <cell r="H20">
            <v>13041456</v>
          </cell>
          <cell r="I20">
            <v>6837169</v>
          </cell>
          <cell r="J20">
            <v>0</v>
          </cell>
        </row>
        <row r="21">
          <cell r="C21">
            <v>0</v>
          </cell>
          <cell r="D21">
            <v>0</v>
          </cell>
          <cell r="E21" t="str">
            <v xml:space="preserve">   Direct O &amp; M Accts 901 - 935</v>
          </cell>
          <cell r="F21">
            <v>0</v>
          </cell>
          <cell r="G21">
            <v>27163365</v>
          </cell>
          <cell r="H21">
            <v>19773487</v>
          </cell>
          <cell r="I21">
            <v>7389878</v>
          </cell>
          <cell r="J21">
            <v>0</v>
          </cell>
        </row>
        <row r="22">
          <cell r="C22">
            <v>0</v>
          </cell>
          <cell r="D22">
            <v>0</v>
          </cell>
          <cell r="E22" t="str">
            <v>Total</v>
          </cell>
          <cell r="F22">
            <v>0</v>
          </cell>
          <cell r="G22">
            <v>47041990</v>
          </cell>
          <cell r="H22">
            <v>32814943</v>
          </cell>
          <cell r="I22">
            <v>14227047</v>
          </cell>
          <cell r="J22">
            <v>0</v>
          </cell>
        </row>
        <row r="23">
          <cell r="C23">
            <v>0</v>
          </cell>
          <cell r="D23">
            <v>0</v>
          </cell>
          <cell r="E23" t="str">
            <v>Percentage</v>
          </cell>
          <cell r="F23">
            <v>0</v>
          </cell>
          <cell r="G23">
            <v>1</v>
          </cell>
          <cell r="H23">
            <v>0.69757000000000002</v>
          </cell>
          <cell r="I23">
            <v>0.30242999999999998</v>
          </cell>
          <cell r="J23">
            <v>0</v>
          </cell>
        </row>
        <row r="24">
          <cell r="C24">
            <v>0</v>
          </cell>
          <cell r="D24">
            <v>0</v>
          </cell>
          <cell r="E24">
            <v>0</v>
          </cell>
          <cell r="F24">
            <v>0</v>
          </cell>
          <cell r="G24">
            <v>0</v>
          </cell>
          <cell r="H24">
            <v>0</v>
          </cell>
          <cell r="I24">
            <v>0</v>
          </cell>
          <cell r="J24">
            <v>0</v>
          </cell>
        </row>
        <row r="25">
          <cell r="C25">
            <v>0</v>
          </cell>
          <cell r="D25">
            <v>0</v>
          </cell>
          <cell r="E25" t="str">
            <v xml:space="preserve">   Direct Labor Accts 500 - 598</v>
          </cell>
          <cell r="F25">
            <v>0</v>
          </cell>
          <cell r="G25">
            <v>13100158</v>
          </cell>
          <cell r="H25">
            <v>8869997</v>
          </cell>
          <cell r="I25">
            <v>4230161</v>
          </cell>
          <cell r="J25">
            <v>0</v>
          </cell>
        </row>
        <row r="26">
          <cell r="C26">
            <v>0</v>
          </cell>
          <cell r="D26">
            <v>0</v>
          </cell>
          <cell r="E26" t="str">
            <v xml:space="preserve">   Direct Labor Accts 901 - 935</v>
          </cell>
          <cell r="F26">
            <v>0</v>
          </cell>
          <cell r="G26">
            <v>6332021</v>
          </cell>
          <cell r="H26">
            <v>4979448</v>
          </cell>
          <cell r="I26">
            <v>1352573</v>
          </cell>
          <cell r="J26">
            <v>0</v>
          </cell>
        </row>
        <row r="27">
          <cell r="C27">
            <v>0</v>
          </cell>
          <cell r="D27">
            <v>0</v>
          </cell>
          <cell r="E27" t="str">
            <v>Total</v>
          </cell>
          <cell r="F27">
            <v>0</v>
          </cell>
          <cell r="G27">
            <v>19432179</v>
          </cell>
          <cell r="H27">
            <v>13849445</v>
          </cell>
          <cell r="I27">
            <v>5582734</v>
          </cell>
          <cell r="J27">
            <v>0</v>
          </cell>
        </row>
        <row r="28">
          <cell r="C28">
            <v>0</v>
          </cell>
          <cell r="D28">
            <v>0</v>
          </cell>
          <cell r="E28" t="str">
            <v>Percentage</v>
          </cell>
          <cell r="F28">
            <v>0</v>
          </cell>
          <cell r="G28">
            <v>1</v>
          </cell>
          <cell r="H28">
            <v>0.71270999999999995</v>
          </cell>
          <cell r="I28">
            <v>0.28728999999999999</v>
          </cell>
          <cell r="J28">
            <v>0</v>
          </cell>
        </row>
        <row r="29">
          <cell r="C29">
            <v>0</v>
          </cell>
          <cell r="D29">
            <v>0</v>
          </cell>
          <cell r="E29">
            <v>0</v>
          </cell>
          <cell r="F29">
            <v>0</v>
          </cell>
          <cell r="G29">
            <v>0</v>
          </cell>
          <cell r="H29">
            <v>0</v>
          </cell>
          <cell r="I29">
            <v>0</v>
          </cell>
          <cell r="J29">
            <v>0</v>
          </cell>
        </row>
        <row r="30">
          <cell r="C30">
            <v>0</v>
          </cell>
          <cell r="D30">
            <v>0</v>
          </cell>
          <cell r="E30" t="str">
            <v xml:space="preserve">   Number of Customers</v>
          </cell>
          <cell r="F30">
            <v>0</v>
          </cell>
          <cell r="G30">
            <v>377285</v>
          </cell>
          <cell r="H30">
            <v>247777</v>
          </cell>
          <cell r="I30">
            <v>129508</v>
          </cell>
          <cell r="J30">
            <v>0</v>
          </cell>
        </row>
        <row r="31">
          <cell r="C31">
            <v>0</v>
          </cell>
          <cell r="D31">
            <v>0</v>
          </cell>
          <cell r="E31" t="str">
            <v>Percentage</v>
          </cell>
          <cell r="F31">
            <v>0</v>
          </cell>
          <cell r="G31">
            <v>1</v>
          </cell>
          <cell r="H31">
            <v>0.65673999999999999</v>
          </cell>
          <cell r="I31">
            <v>0.34326000000000001</v>
          </cell>
          <cell r="J31">
            <v>0</v>
          </cell>
        </row>
        <row r="32">
          <cell r="C32">
            <v>0</v>
          </cell>
          <cell r="D32">
            <v>0</v>
          </cell>
          <cell r="E32">
            <v>0</v>
          </cell>
          <cell r="F32">
            <v>0</v>
          </cell>
          <cell r="G32">
            <v>0</v>
          </cell>
          <cell r="H32">
            <v>0</v>
          </cell>
          <cell r="I32">
            <v>0</v>
          </cell>
          <cell r="J32">
            <v>0</v>
          </cell>
        </row>
        <row r="33">
          <cell r="C33">
            <v>0</v>
          </cell>
          <cell r="D33">
            <v>0</v>
          </cell>
          <cell r="E33" t="str">
            <v xml:space="preserve">   Net Direct Plant</v>
          </cell>
          <cell r="F33">
            <v>0</v>
          </cell>
          <cell r="G33">
            <v>1072965542</v>
          </cell>
          <cell r="H33">
            <v>712213744</v>
          </cell>
          <cell r="I33">
            <v>360751798</v>
          </cell>
          <cell r="J33">
            <v>0</v>
          </cell>
        </row>
        <row r="34">
          <cell r="C34">
            <v>0</v>
          </cell>
          <cell r="D34">
            <v>0</v>
          </cell>
          <cell r="E34" t="str">
            <v>Percentage</v>
          </cell>
          <cell r="F34">
            <v>0</v>
          </cell>
          <cell r="G34">
            <v>1</v>
          </cell>
          <cell r="H34">
            <v>0.66378000000000004</v>
          </cell>
          <cell r="I34">
            <v>0.33622000000000002</v>
          </cell>
          <cell r="J34">
            <v>0</v>
          </cell>
        </row>
        <row r="35">
          <cell r="C35">
            <v>0</v>
          </cell>
          <cell r="D35">
            <v>0</v>
          </cell>
          <cell r="E35">
            <v>0</v>
          </cell>
          <cell r="F35">
            <v>0</v>
          </cell>
          <cell r="G35">
            <v>0</v>
          </cell>
          <cell r="H35">
            <v>0</v>
          </cell>
          <cell r="I35">
            <v>0</v>
          </cell>
          <cell r="J35">
            <v>0</v>
          </cell>
        </row>
        <row r="36">
          <cell r="C36">
            <v>0</v>
          </cell>
          <cell r="D36">
            <v>0</v>
          </cell>
          <cell r="E36" t="str">
            <v>Total Percentages</v>
          </cell>
          <cell r="G36">
            <v>4</v>
          </cell>
          <cell r="H36">
            <v>2.7307899999999998</v>
          </cell>
          <cell r="I36">
            <v>1.2692099999999999</v>
          </cell>
          <cell r="J36">
            <v>0</v>
          </cell>
        </row>
        <row r="37">
          <cell r="C37">
            <v>4</v>
          </cell>
          <cell r="D37">
            <v>0</v>
          </cell>
          <cell r="E37" t="str">
            <v xml:space="preserve">  Percent</v>
          </cell>
          <cell r="G37">
            <v>1</v>
          </cell>
          <cell r="H37">
            <v>0.68269999999999997</v>
          </cell>
          <cell r="I37">
            <v>0.31730000000000003</v>
          </cell>
          <cell r="J37">
            <v>0</v>
          </cell>
        </row>
        <row r="38">
          <cell r="C38">
            <v>0</v>
          </cell>
          <cell r="D38">
            <v>0</v>
          </cell>
          <cell r="E38">
            <v>0</v>
          </cell>
          <cell r="G38">
            <v>0</v>
          </cell>
          <cell r="H38">
            <v>0</v>
          </cell>
          <cell r="I38">
            <v>0</v>
          </cell>
          <cell r="J38">
            <v>0</v>
          </cell>
        </row>
        <row r="39">
          <cell r="C39">
            <v>0</v>
          </cell>
          <cell r="D39">
            <v>0</v>
          </cell>
          <cell r="E39">
            <v>0</v>
          </cell>
          <cell r="G39">
            <v>0</v>
          </cell>
          <cell r="H39">
            <v>0</v>
          </cell>
          <cell r="I39">
            <v>0</v>
          </cell>
          <cell r="J39">
            <v>0</v>
          </cell>
        </row>
        <row r="40">
          <cell r="C40">
            <v>0</v>
          </cell>
          <cell r="D40" t="str">
            <v>Input</v>
          </cell>
          <cell r="E40" t="str">
            <v>Elec/Gas North/Oregon 4-Factor</v>
          </cell>
          <cell r="F40" t="str">
            <v>01-01-2015 thru 12-31-2015</v>
          </cell>
          <cell r="G40" t="str">
            <v>Total</v>
          </cell>
          <cell r="H40" t="str">
            <v>Electric</v>
          </cell>
          <cell r="I40" t="str">
            <v>Gas North</v>
          </cell>
          <cell r="J40" t="str">
            <v>Oregon Gas</v>
          </cell>
        </row>
        <row r="41">
          <cell r="C41">
            <v>0</v>
          </cell>
          <cell r="D41">
            <v>0</v>
          </cell>
          <cell r="E41" t="str">
            <v xml:space="preserve">   Direct O &amp; M Accts 500 - 894</v>
          </cell>
          <cell r="F41">
            <v>0</v>
          </cell>
          <cell r="G41">
            <v>68870162</v>
          </cell>
          <cell r="H41">
            <v>57859575</v>
          </cell>
          <cell r="I41">
            <v>7660811</v>
          </cell>
          <cell r="J41">
            <v>3349776</v>
          </cell>
        </row>
        <row r="42">
          <cell r="C42">
            <v>0</v>
          </cell>
          <cell r="D42">
            <v>0</v>
          </cell>
          <cell r="E42" t="str">
            <v xml:space="preserve">   Direct O &amp; M Accts 901 - 935</v>
          </cell>
          <cell r="F42">
            <v>0</v>
          </cell>
          <cell r="G42">
            <v>40470171</v>
          </cell>
          <cell r="H42">
            <v>30725388</v>
          </cell>
          <cell r="I42">
            <v>6803561</v>
          </cell>
          <cell r="J42">
            <v>2941222</v>
          </cell>
        </row>
        <row r="43">
          <cell r="C43">
            <v>0</v>
          </cell>
          <cell r="D43">
            <v>0</v>
          </cell>
          <cell r="E43" t="str">
            <v xml:space="preserve">   Direct O &amp; M Accts 901 - 905 Utility 9 Only</v>
          </cell>
          <cell r="F43">
            <v>0</v>
          </cell>
          <cell r="G43">
            <v>5203836</v>
          </cell>
          <cell r="H43">
            <v>3701516</v>
          </cell>
          <cell r="I43">
            <v>1502320</v>
          </cell>
          <cell r="J43">
            <v>0</v>
          </cell>
        </row>
        <row r="44">
          <cell r="C44">
            <v>0</v>
          </cell>
          <cell r="D44">
            <v>0</v>
          </cell>
          <cell r="E44" t="str">
            <v xml:space="preserve">   Adjustments</v>
          </cell>
          <cell r="F44">
            <v>0</v>
          </cell>
          <cell r="G44">
            <v>0</v>
          </cell>
          <cell r="H44">
            <v>0</v>
          </cell>
          <cell r="I44">
            <v>0</v>
          </cell>
          <cell r="J44">
            <v>0</v>
          </cell>
        </row>
        <row r="45">
          <cell r="C45">
            <v>0</v>
          </cell>
          <cell r="D45">
            <v>0</v>
          </cell>
          <cell r="E45" t="str">
            <v>Total</v>
          </cell>
          <cell r="F45">
            <v>0</v>
          </cell>
          <cell r="G45">
            <v>114544169</v>
          </cell>
          <cell r="H45">
            <v>92286479</v>
          </cell>
          <cell r="I45">
            <v>15966692</v>
          </cell>
          <cell r="J45">
            <v>6290998</v>
          </cell>
        </row>
        <row r="46">
          <cell r="C46">
            <v>0</v>
          </cell>
          <cell r="D46">
            <v>0</v>
          </cell>
          <cell r="E46" t="str">
            <v>Percentage</v>
          </cell>
          <cell r="F46">
            <v>0</v>
          </cell>
          <cell r="G46">
            <v>1</v>
          </cell>
          <cell r="H46">
            <v>0.80569000000000002</v>
          </cell>
          <cell r="I46">
            <v>0.13938999999999999</v>
          </cell>
          <cell r="J46">
            <v>5.4919999999999997E-2</v>
          </cell>
        </row>
        <row r="47">
          <cell r="C47">
            <v>0</v>
          </cell>
          <cell r="D47">
            <v>0</v>
          </cell>
          <cell r="E47">
            <v>0</v>
          </cell>
          <cell r="F47">
            <v>0</v>
          </cell>
          <cell r="G47">
            <v>0</v>
          </cell>
          <cell r="H47">
            <v>0</v>
          </cell>
          <cell r="I47">
            <v>0</v>
          </cell>
          <cell r="J47">
            <v>0</v>
          </cell>
        </row>
        <row r="48">
          <cell r="C48">
            <v>0</v>
          </cell>
          <cell r="D48">
            <v>0</v>
          </cell>
          <cell r="E48" t="str">
            <v xml:space="preserve">   Direct Labor Accts 500 - 894</v>
          </cell>
          <cell r="F48">
            <v>0</v>
          </cell>
          <cell r="G48">
            <v>71533714</v>
          </cell>
          <cell r="H48">
            <v>54197331</v>
          </cell>
          <cell r="I48">
            <v>12273957</v>
          </cell>
          <cell r="J48">
            <v>5062426</v>
          </cell>
        </row>
        <row r="49">
          <cell r="C49">
            <v>0</v>
          </cell>
          <cell r="D49">
            <v>0</v>
          </cell>
          <cell r="E49" t="str">
            <v xml:space="preserve">   Direct Labor Accts 901 - 935</v>
          </cell>
          <cell r="F49">
            <v>0</v>
          </cell>
          <cell r="G49">
            <v>5276902</v>
          </cell>
          <cell r="H49">
            <v>3297361</v>
          </cell>
          <cell r="I49">
            <v>193627</v>
          </cell>
          <cell r="J49">
            <v>1785914</v>
          </cell>
        </row>
        <row r="50">
          <cell r="C50">
            <v>0</v>
          </cell>
          <cell r="D50">
            <v>0</v>
          </cell>
          <cell r="E50" t="str">
            <v xml:space="preserve">   Direct Labor Accts 901 - 905 Utility 9 Only</v>
          </cell>
          <cell r="F50">
            <v>0</v>
          </cell>
          <cell r="G50">
            <v>10808995</v>
          </cell>
          <cell r="H50">
            <v>7263025</v>
          </cell>
          <cell r="I50">
            <v>3545970</v>
          </cell>
          <cell r="J50">
            <v>0</v>
          </cell>
        </row>
        <row r="51">
          <cell r="C51">
            <v>0</v>
          </cell>
          <cell r="D51">
            <v>0</v>
          </cell>
          <cell r="E51" t="str">
            <v>Total</v>
          </cell>
          <cell r="F51">
            <v>0</v>
          </cell>
          <cell r="G51">
            <v>87619611</v>
          </cell>
          <cell r="H51">
            <v>64757717</v>
          </cell>
          <cell r="I51">
            <v>16013554</v>
          </cell>
          <cell r="J51">
            <v>6848340</v>
          </cell>
        </row>
        <row r="52">
          <cell r="C52">
            <v>0</v>
          </cell>
          <cell r="D52">
            <v>0</v>
          </cell>
          <cell r="E52" t="str">
            <v>Percentage</v>
          </cell>
          <cell r="F52">
            <v>0</v>
          </cell>
          <cell r="G52">
            <v>1</v>
          </cell>
          <cell r="H52">
            <v>0.73907999999999996</v>
          </cell>
          <cell r="I52">
            <v>0.18276000000000001</v>
          </cell>
          <cell r="J52">
            <v>7.8159999999999993E-2</v>
          </cell>
        </row>
        <row r="53">
          <cell r="C53">
            <v>0</v>
          </cell>
          <cell r="D53">
            <v>0</v>
          </cell>
          <cell r="E53">
            <v>0</v>
          </cell>
          <cell r="F53">
            <v>0</v>
          </cell>
          <cell r="G53">
            <v>0</v>
          </cell>
          <cell r="H53">
            <v>0</v>
          </cell>
          <cell r="I53">
            <v>0</v>
          </cell>
          <cell r="J53">
            <v>0</v>
          </cell>
        </row>
        <row r="54">
          <cell r="C54">
            <v>0</v>
          </cell>
          <cell r="D54">
            <v>0</v>
          </cell>
          <cell r="E54" t="str">
            <v xml:space="preserve">   Number of Customers at</v>
          </cell>
          <cell r="F54">
            <v>0</v>
          </cell>
          <cell r="G54">
            <v>709694</v>
          </cell>
          <cell r="H54">
            <v>374962</v>
          </cell>
          <cell r="I54">
            <v>235378</v>
          </cell>
          <cell r="J54">
            <v>99354</v>
          </cell>
        </row>
        <row r="55">
          <cell r="C55">
            <v>0</v>
          </cell>
          <cell r="D55">
            <v>0</v>
          </cell>
          <cell r="E55" t="str">
            <v>Percentage</v>
          </cell>
          <cell r="F55">
            <v>0</v>
          </cell>
          <cell r="G55">
            <v>1</v>
          </cell>
          <cell r="H55">
            <v>0.52834000000000003</v>
          </cell>
          <cell r="I55">
            <v>0.33166000000000001</v>
          </cell>
          <cell r="J55">
            <v>0.14000000000000001</v>
          </cell>
        </row>
        <row r="56">
          <cell r="C56">
            <v>0</v>
          </cell>
          <cell r="D56">
            <v>0</v>
          </cell>
          <cell r="E56">
            <v>0</v>
          </cell>
          <cell r="F56">
            <v>0</v>
          </cell>
          <cell r="G56">
            <v>0</v>
          </cell>
          <cell r="H56">
            <v>0</v>
          </cell>
          <cell r="I56">
            <v>0</v>
          </cell>
          <cell r="J56">
            <v>0</v>
          </cell>
        </row>
        <row r="57">
          <cell r="C57">
            <v>0</v>
          </cell>
          <cell r="D57">
            <v>0</v>
          </cell>
          <cell r="E57" t="str">
            <v xml:space="preserve">   Net Direct Plant</v>
          </cell>
          <cell r="F57">
            <v>0</v>
          </cell>
          <cell r="G57">
            <v>2961417554</v>
          </cell>
          <cell r="H57">
            <v>2309776654</v>
          </cell>
          <cell r="I57">
            <v>427886508</v>
          </cell>
          <cell r="J57">
            <v>223754392</v>
          </cell>
        </row>
        <row r="58">
          <cell r="C58">
            <v>0</v>
          </cell>
          <cell r="D58">
            <v>0</v>
          </cell>
          <cell r="E58" t="str">
            <v>Percentage</v>
          </cell>
          <cell r="F58">
            <v>0</v>
          </cell>
          <cell r="G58">
            <v>1</v>
          </cell>
          <cell r="H58">
            <v>0.77995000000000003</v>
          </cell>
          <cell r="I58">
            <v>0.14449000000000001</v>
          </cell>
          <cell r="J58">
            <v>7.5560000000000002E-2</v>
          </cell>
        </row>
        <row r="59">
          <cell r="C59">
            <v>0</v>
          </cell>
          <cell r="D59">
            <v>0</v>
          </cell>
          <cell r="E59">
            <v>0</v>
          </cell>
          <cell r="F59">
            <v>0</v>
          </cell>
          <cell r="G59">
            <v>0</v>
          </cell>
          <cell r="H59">
            <v>0</v>
          </cell>
          <cell r="I59">
            <v>0</v>
          </cell>
          <cell r="J59">
            <v>0</v>
          </cell>
        </row>
        <row r="60">
          <cell r="C60">
            <v>0</v>
          </cell>
          <cell r="D60">
            <v>0</v>
          </cell>
          <cell r="E60" t="str">
            <v>Total Percentages</v>
          </cell>
          <cell r="F60">
            <v>0</v>
          </cell>
          <cell r="G60">
            <v>4</v>
          </cell>
          <cell r="H60">
            <v>2.8530600000000002</v>
          </cell>
          <cell r="I60">
            <v>0.79830000000000001</v>
          </cell>
          <cell r="J60">
            <v>0.34863</v>
          </cell>
        </row>
        <row r="61">
          <cell r="C61">
            <v>7</v>
          </cell>
          <cell r="D61">
            <v>0</v>
          </cell>
          <cell r="E61" t="str">
            <v>Average  (CD AA)</v>
          </cell>
          <cell r="F61">
            <v>0</v>
          </cell>
          <cell r="G61">
            <v>1</v>
          </cell>
          <cell r="H61">
            <v>0.71326000000000001</v>
          </cell>
          <cell r="I61">
            <v>0.19958000000000001</v>
          </cell>
          <cell r="J61">
            <v>8.7160000000000001E-2</v>
          </cell>
        </row>
        <row r="62">
          <cell r="C62">
            <v>0</v>
          </cell>
          <cell r="D62">
            <v>0</v>
          </cell>
          <cell r="E62">
            <v>0</v>
          </cell>
          <cell r="F62">
            <v>0</v>
          </cell>
          <cell r="G62">
            <v>0</v>
          </cell>
          <cell r="H62">
            <v>0</v>
          </cell>
          <cell r="I62">
            <v>0</v>
          </cell>
          <cell r="J62">
            <v>0</v>
          </cell>
        </row>
        <row r="63">
          <cell r="C63">
            <v>0</v>
          </cell>
          <cell r="D63" t="str">
            <v>Input</v>
          </cell>
          <cell r="E63" t="str">
            <v>Gas North/Oregon 4-Factor</v>
          </cell>
          <cell r="F63" t="str">
            <v>01-01-2015 thru 12-31-2015</v>
          </cell>
          <cell r="G63" t="str">
            <v>Total</v>
          </cell>
          <cell r="H63" t="str">
            <v>Electric</v>
          </cell>
          <cell r="I63" t="str">
            <v>Gas North</v>
          </cell>
          <cell r="J63" t="str">
            <v>Oregon Gas</v>
          </cell>
        </row>
        <row r="64">
          <cell r="C64">
            <v>0</v>
          </cell>
          <cell r="D64">
            <v>0</v>
          </cell>
          <cell r="E64" t="str">
            <v xml:space="preserve">   Direct O &amp; M Accts 500 - 894</v>
          </cell>
          <cell r="F64">
            <v>0</v>
          </cell>
          <cell r="G64">
            <v>10455835</v>
          </cell>
          <cell r="H64">
            <v>0</v>
          </cell>
          <cell r="I64">
            <v>7274832</v>
          </cell>
          <cell r="J64">
            <v>3181003</v>
          </cell>
        </row>
        <row r="65">
          <cell r="C65">
            <v>0</v>
          </cell>
          <cell r="D65">
            <v>0</v>
          </cell>
          <cell r="E65" t="str">
            <v xml:space="preserve">   Direct O &amp; M Accts 901 - 935</v>
          </cell>
          <cell r="F65">
            <v>0</v>
          </cell>
          <cell r="G65">
            <v>9194411</v>
          </cell>
          <cell r="H65">
            <v>0</v>
          </cell>
          <cell r="I65">
            <v>6419305</v>
          </cell>
          <cell r="J65">
            <v>2775106</v>
          </cell>
        </row>
        <row r="66">
          <cell r="C66">
            <v>0</v>
          </cell>
          <cell r="D66">
            <v>0</v>
          </cell>
          <cell r="E66" t="str">
            <v xml:space="preserve">   Direct O &amp; M Accts 901 - 905 Utility 9 Only</v>
          </cell>
          <cell r="F66">
            <v>0</v>
          </cell>
          <cell r="G66">
            <v>1502320</v>
          </cell>
          <cell r="H66">
            <v>0</v>
          </cell>
          <cell r="I66">
            <v>1502320</v>
          </cell>
          <cell r="J66">
            <v>0</v>
          </cell>
        </row>
        <row r="67">
          <cell r="C67">
            <v>0</v>
          </cell>
          <cell r="D67">
            <v>0</v>
          </cell>
          <cell r="E67" t="str">
            <v>Total</v>
          </cell>
          <cell r="F67">
            <v>0</v>
          </cell>
          <cell r="G67">
            <v>21152566</v>
          </cell>
          <cell r="H67">
            <v>0</v>
          </cell>
          <cell r="I67">
            <v>15196457</v>
          </cell>
          <cell r="J67">
            <v>5956109</v>
          </cell>
        </row>
        <row r="68">
          <cell r="C68">
            <v>0</v>
          </cell>
          <cell r="D68">
            <v>0</v>
          </cell>
          <cell r="E68" t="str">
            <v>Percentage</v>
          </cell>
          <cell r="F68">
            <v>0</v>
          </cell>
          <cell r="G68">
            <v>1</v>
          </cell>
          <cell r="H68">
            <v>0</v>
          </cell>
          <cell r="I68">
            <v>0.71841999999999995</v>
          </cell>
          <cell r="J68">
            <v>0.28158</v>
          </cell>
        </row>
        <row r="69">
          <cell r="C69">
            <v>0</v>
          </cell>
          <cell r="D69">
            <v>0</v>
          </cell>
          <cell r="E69">
            <v>0</v>
          </cell>
          <cell r="F69">
            <v>0</v>
          </cell>
          <cell r="G69">
            <v>0</v>
          </cell>
          <cell r="H69">
            <v>0</v>
          </cell>
          <cell r="I69">
            <v>0</v>
          </cell>
          <cell r="J69">
            <v>0</v>
          </cell>
        </row>
        <row r="70">
          <cell r="C70">
            <v>0</v>
          </cell>
          <cell r="D70">
            <v>0</v>
          </cell>
          <cell r="E70" t="str">
            <v xml:space="preserve">   Direct Labor Accts 500 - 894</v>
          </cell>
          <cell r="F70">
            <v>0</v>
          </cell>
          <cell r="G70">
            <v>12747846</v>
          </cell>
          <cell r="H70">
            <v>0</v>
          </cell>
          <cell r="I70">
            <v>9025326</v>
          </cell>
          <cell r="J70">
            <v>3722520</v>
          </cell>
        </row>
        <row r="71">
          <cell r="C71">
            <v>0</v>
          </cell>
          <cell r="D71">
            <v>0</v>
          </cell>
          <cell r="E71" t="str">
            <v xml:space="preserve">   Direct Labor Accts 901 - 935</v>
          </cell>
          <cell r="F71">
            <v>0</v>
          </cell>
          <cell r="G71">
            <v>1617630</v>
          </cell>
          <cell r="H71">
            <v>0</v>
          </cell>
          <cell r="I71">
            <v>158227</v>
          </cell>
          <cell r="J71">
            <v>1459403</v>
          </cell>
        </row>
        <row r="72">
          <cell r="C72">
            <v>0</v>
          </cell>
          <cell r="D72">
            <v>0</v>
          </cell>
          <cell r="E72" t="str">
            <v xml:space="preserve">   Direct Labor Accts 901 - 905 Utility 9 Only</v>
          </cell>
          <cell r="F72">
            <v>0</v>
          </cell>
          <cell r="G72">
            <v>3545970</v>
          </cell>
          <cell r="H72">
            <v>0</v>
          </cell>
          <cell r="I72">
            <v>3545970</v>
          </cell>
          <cell r="J72">
            <v>0</v>
          </cell>
        </row>
        <row r="73">
          <cell r="C73">
            <v>0</v>
          </cell>
          <cell r="D73">
            <v>0</v>
          </cell>
          <cell r="E73" t="str">
            <v>Total</v>
          </cell>
          <cell r="F73">
            <v>0</v>
          </cell>
          <cell r="G73">
            <v>17911446</v>
          </cell>
          <cell r="H73">
            <v>0</v>
          </cell>
          <cell r="I73">
            <v>12729523</v>
          </cell>
          <cell r="J73">
            <v>5181923</v>
          </cell>
        </row>
        <row r="74">
          <cell r="C74">
            <v>0</v>
          </cell>
          <cell r="D74">
            <v>0</v>
          </cell>
          <cell r="E74" t="str">
            <v>Percentage</v>
          </cell>
          <cell r="F74">
            <v>0</v>
          </cell>
          <cell r="G74">
            <v>1</v>
          </cell>
          <cell r="H74">
            <v>0</v>
          </cell>
          <cell r="I74">
            <v>0.71069000000000004</v>
          </cell>
          <cell r="J74">
            <v>0.28931000000000001</v>
          </cell>
        </row>
        <row r="75">
          <cell r="C75">
            <v>0</v>
          </cell>
          <cell r="D75">
            <v>0</v>
          </cell>
          <cell r="E75">
            <v>0</v>
          </cell>
          <cell r="F75">
            <v>0</v>
          </cell>
          <cell r="G75">
            <v>0</v>
          </cell>
          <cell r="H75">
            <v>0</v>
          </cell>
          <cell r="I75">
            <v>0</v>
          </cell>
          <cell r="J75">
            <v>0</v>
          </cell>
        </row>
        <row r="76">
          <cell r="C76">
            <v>0</v>
          </cell>
          <cell r="D76">
            <v>0</v>
          </cell>
          <cell r="E76" t="str">
            <v xml:space="preserve">   Number of Customers at</v>
          </cell>
          <cell r="F76">
            <v>0</v>
          </cell>
          <cell r="G76">
            <v>334732</v>
          </cell>
          <cell r="H76">
            <v>0</v>
          </cell>
          <cell r="I76">
            <v>235378</v>
          </cell>
          <cell r="J76">
            <v>99354</v>
          </cell>
        </row>
        <row r="77">
          <cell r="C77">
            <v>0</v>
          </cell>
          <cell r="D77">
            <v>0</v>
          </cell>
          <cell r="E77" t="str">
            <v>Percentage</v>
          </cell>
          <cell r="F77">
            <v>0</v>
          </cell>
          <cell r="G77">
            <v>1</v>
          </cell>
          <cell r="H77">
            <v>0</v>
          </cell>
          <cell r="I77">
            <v>0.70318000000000003</v>
          </cell>
          <cell r="J77">
            <v>0.29681999999999997</v>
          </cell>
        </row>
        <row r="78">
          <cell r="C78">
            <v>0</v>
          </cell>
          <cell r="D78">
            <v>0</v>
          </cell>
          <cell r="E78">
            <v>0</v>
          </cell>
          <cell r="F78">
            <v>0</v>
          </cell>
          <cell r="G78">
            <v>0</v>
          </cell>
          <cell r="H78">
            <v>0</v>
          </cell>
          <cell r="I78">
            <v>0</v>
          </cell>
          <cell r="J78">
            <v>0</v>
          </cell>
        </row>
        <row r="79">
          <cell r="C79">
            <v>0</v>
          </cell>
          <cell r="D79">
            <v>0</v>
          </cell>
          <cell r="E79" t="str">
            <v xml:space="preserve">   Net Direct Plant</v>
          </cell>
          <cell r="F79">
            <v>0</v>
          </cell>
          <cell r="G79">
            <v>642075757</v>
          </cell>
          <cell r="H79">
            <v>0</v>
          </cell>
          <cell r="I79">
            <v>419325758</v>
          </cell>
          <cell r="J79">
            <v>222749999</v>
          </cell>
        </row>
        <row r="80">
          <cell r="C80">
            <v>0</v>
          </cell>
          <cell r="D80">
            <v>0</v>
          </cell>
          <cell r="E80" t="str">
            <v>Percentage</v>
          </cell>
          <cell r="F80">
            <v>0</v>
          </cell>
          <cell r="G80">
            <v>1</v>
          </cell>
          <cell r="H80">
            <v>0</v>
          </cell>
          <cell r="I80">
            <v>0.65307999999999999</v>
          </cell>
          <cell r="J80">
            <v>0.34692000000000001</v>
          </cell>
        </row>
        <row r="81">
          <cell r="C81">
            <v>0</v>
          </cell>
          <cell r="D81">
            <v>0</v>
          </cell>
          <cell r="E81">
            <v>0</v>
          </cell>
          <cell r="F81">
            <v>0</v>
          </cell>
          <cell r="G81">
            <v>0</v>
          </cell>
          <cell r="H81">
            <v>0</v>
          </cell>
          <cell r="I81">
            <v>0</v>
          </cell>
          <cell r="J81">
            <v>0</v>
          </cell>
        </row>
        <row r="82">
          <cell r="C82">
            <v>0</v>
          </cell>
          <cell r="D82">
            <v>0</v>
          </cell>
          <cell r="E82" t="str">
            <v>Total Percentages</v>
          </cell>
          <cell r="F82">
            <v>0</v>
          </cell>
          <cell r="G82">
            <v>4</v>
          </cell>
          <cell r="H82">
            <v>0</v>
          </cell>
          <cell r="I82">
            <v>2.78538</v>
          </cell>
          <cell r="J82">
            <v>1.21462</v>
          </cell>
        </row>
        <row r="83">
          <cell r="C83">
            <v>8</v>
          </cell>
          <cell r="D83">
            <v>0</v>
          </cell>
          <cell r="E83" t="str">
            <v>Average  (GD AA)</v>
          </cell>
          <cell r="F83">
            <v>0</v>
          </cell>
          <cell r="G83">
            <v>1</v>
          </cell>
          <cell r="H83">
            <v>0</v>
          </cell>
          <cell r="I83">
            <v>0.69633999999999996</v>
          </cell>
          <cell r="J83">
            <v>0.30365999999999999</v>
          </cell>
        </row>
        <row r="84">
          <cell r="C84">
            <v>0</v>
          </cell>
          <cell r="D84">
            <v>0</v>
          </cell>
          <cell r="E84">
            <v>0</v>
          </cell>
          <cell r="F84">
            <v>0</v>
          </cell>
          <cell r="G84">
            <v>0</v>
          </cell>
          <cell r="H84">
            <v>0</v>
          </cell>
          <cell r="I84">
            <v>0</v>
          </cell>
          <cell r="J84">
            <v>0</v>
          </cell>
        </row>
        <row r="85">
          <cell r="C85">
            <v>0</v>
          </cell>
          <cell r="D85">
            <v>0</v>
          </cell>
          <cell r="E85">
            <v>0</v>
          </cell>
          <cell r="G85">
            <v>0</v>
          </cell>
          <cell r="H85">
            <v>0</v>
          </cell>
          <cell r="I85">
            <v>0</v>
          </cell>
          <cell r="J85">
            <v>0</v>
          </cell>
        </row>
        <row r="86">
          <cell r="C86">
            <v>0</v>
          </cell>
          <cell r="D86" t="str">
            <v>Input</v>
          </cell>
          <cell r="E86" t="str">
            <v>Elec/Gas North 4-Factor</v>
          </cell>
          <cell r="F86" t="str">
            <v>01-01-2015 thru 12-31-2015</v>
          </cell>
          <cell r="G86" t="str">
            <v>Total</v>
          </cell>
          <cell r="H86" t="str">
            <v>Electric</v>
          </cell>
          <cell r="I86" t="str">
            <v>Gas North</v>
          </cell>
          <cell r="J86" t="str">
            <v>Oregon Gas</v>
          </cell>
        </row>
        <row r="87">
          <cell r="C87">
            <v>0</v>
          </cell>
          <cell r="D87">
            <v>0</v>
          </cell>
          <cell r="E87" t="str">
            <v xml:space="preserve">   Direct O &amp; M Accts 500 - 894</v>
          </cell>
          <cell r="F87">
            <v>0</v>
          </cell>
          <cell r="G87">
            <v>65517641</v>
          </cell>
          <cell r="H87">
            <v>57859575</v>
          </cell>
          <cell r="I87">
            <v>7658066</v>
          </cell>
          <cell r="J87">
            <v>0</v>
          </cell>
        </row>
        <row r="88">
          <cell r="C88">
            <v>0</v>
          </cell>
          <cell r="D88">
            <v>0</v>
          </cell>
          <cell r="E88" t="str">
            <v xml:space="preserve">   Direct O &amp; M Accts 901 - 935</v>
          </cell>
          <cell r="F88">
            <v>0</v>
          </cell>
          <cell r="G88">
            <v>37524901</v>
          </cell>
          <cell r="H88">
            <v>30725388</v>
          </cell>
          <cell r="I88">
            <v>6799513</v>
          </cell>
          <cell r="J88">
            <v>0</v>
          </cell>
        </row>
        <row r="89">
          <cell r="C89">
            <v>0</v>
          </cell>
          <cell r="D89">
            <v>0</v>
          </cell>
          <cell r="E89" t="str">
            <v xml:space="preserve">    Adjustments</v>
          </cell>
          <cell r="F89">
            <v>0</v>
          </cell>
          <cell r="G89">
            <v>0</v>
          </cell>
          <cell r="H89">
            <v>0</v>
          </cell>
          <cell r="I89">
            <v>0</v>
          </cell>
          <cell r="J89">
            <v>0</v>
          </cell>
        </row>
        <row r="90">
          <cell r="C90">
            <v>0</v>
          </cell>
          <cell r="D90">
            <v>0</v>
          </cell>
          <cell r="E90" t="str">
            <v>Total</v>
          </cell>
          <cell r="F90">
            <v>0</v>
          </cell>
          <cell r="G90">
            <v>103042542</v>
          </cell>
          <cell r="H90">
            <v>88584963</v>
          </cell>
          <cell r="I90">
            <v>14457579</v>
          </cell>
          <cell r="J90">
            <v>0</v>
          </cell>
        </row>
        <row r="91">
          <cell r="C91">
            <v>0</v>
          </cell>
          <cell r="D91">
            <v>0</v>
          </cell>
          <cell r="E91" t="str">
            <v>Percentage</v>
          </cell>
          <cell r="F91">
            <v>0</v>
          </cell>
          <cell r="G91">
            <v>1</v>
          </cell>
          <cell r="H91">
            <v>0.85968999999999995</v>
          </cell>
          <cell r="I91">
            <v>0.14030999999999999</v>
          </cell>
          <cell r="J91">
            <v>0</v>
          </cell>
        </row>
        <row r="92">
          <cell r="C92">
            <v>0</v>
          </cell>
          <cell r="D92">
            <v>0</v>
          </cell>
          <cell r="E92">
            <v>0</v>
          </cell>
          <cell r="F92">
            <v>0</v>
          </cell>
          <cell r="G92">
            <v>0</v>
          </cell>
          <cell r="H92">
            <v>0</v>
          </cell>
          <cell r="I92">
            <v>0</v>
          </cell>
          <cell r="J92">
            <v>0</v>
          </cell>
        </row>
        <row r="93">
          <cell r="C93">
            <v>0</v>
          </cell>
          <cell r="D93">
            <v>0</v>
          </cell>
          <cell r="E93" t="str">
            <v xml:space="preserve">   Direct Labor Accts 500 - 894</v>
          </cell>
          <cell r="F93">
            <v>0</v>
          </cell>
          <cell r="G93">
            <v>66392511</v>
          </cell>
          <cell r="H93">
            <v>54197331</v>
          </cell>
          <cell r="I93">
            <v>12195180</v>
          </cell>
          <cell r="J93">
            <v>0</v>
          </cell>
        </row>
        <row r="94">
          <cell r="C94">
            <v>0</v>
          </cell>
          <cell r="D94">
            <v>0</v>
          </cell>
          <cell r="E94" t="str">
            <v xml:space="preserve">   Direct Labor Accts 901 - 935</v>
          </cell>
          <cell r="F94">
            <v>0</v>
          </cell>
          <cell r="G94">
            <v>3705603</v>
          </cell>
          <cell r="H94">
            <v>3297361</v>
          </cell>
          <cell r="I94">
            <v>408242</v>
          </cell>
          <cell r="J94">
            <v>0</v>
          </cell>
        </row>
        <row r="95">
          <cell r="C95">
            <v>0</v>
          </cell>
          <cell r="D95">
            <v>0</v>
          </cell>
          <cell r="E95" t="str">
            <v>Total</v>
          </cell>
          <cell r="F95">
            <v>0</v>
          </cell>
          <cell r="G95">
            <v>70098114</v>
          </cell>
          <cell r="H95">
            <v>57494692</v>
          </cell>
          <cell r="I95">
            <v>12603422</v>
          </cell>
          <cell r="J95">
            <v>0</v>
          </cell>
        </row>
        <row r="96">
          <cell r="C96">
            <v>0</v>
          </cell>
          <cell r="D96">
            <v>0</v>
          </cell>
          <cell r="E96" t="str">
            <v>Percentage</v>
          </cell>
          <cell r="F96">
            <v>0</v>
          </cell>
          <cell r="G96">
            <v>1</v>
          </cell>
          <cell r="H96">
            <v>0.82020000000000004</v>
          </cell>
          <cell r="I96">
            <v>0.17979999999999999</v>
          </cell>
          <cell r="J96">
            <v>0</v>
          </cell>
        </row>
        <row r="97">
          <cell r="C97">
            <v>0</v>
          </cell>
          <cell r="D97">
            <v>0</v>
          </cell>
          <cell r="E97">
            <v>0</v>
          </cell>
          <cell r="F97">
            <v>0</v>
          </cell>
          <cell r="G97">
            <v>0</v>
          </cell>
          <cell r="H97">
            <v>0</v>
          </cell>
          <cell r="I97">
            <v>0</v>
          </cell>
          <cell r="J97">
            <v>0</v>
          </cell>
        </row>
        <row r="98">
          <cell r="C98">
            <v>0</v>
          </cell>
          <cell r="D98">
            <v>0</v>
          </cell>
          <cell r="E98" t="str">
            <v xml:space="preserve">   Number of Customers at</v>
          </cell>
          <cell r="F98">
            <v>0</v>
          </cell>
          <cell r="G98">
            <v>610340</v>
          </cell>
          <cell r="H98">
            <v>374962</v>
          </cell>
          <cell r="I98">
            <v>235378</v>
          </cell>
          <cell r="J98">
            <v>0</v>
          </cell>
        </row>
        <row r="99">
          <cell r="C99">
            <v>0</v>
          </cell>
          <cell r="D99">
            <v>0</v>
          </cell>
          <cell r="E99" t="str">
            <v>Percentage</v>
          </cell>
          <cell r="F99">
            <v>0</v>
          </cell>
          <cell r="G99">
            <v>1</v>
          </cell>
          <cell r="H99">
            <v>0.61434999999999995</v>
          </cell>
          <cell r="I99">
            <v>0.38564999999999999</v>
          </cell>
          <cell r="J99">
            <v>0</v>
          </cell>
        </row>
        <row r="100">
          <cell r="C100">
            <v>0</v>
          </cell>
          <cell r="D100">
            <v>0</v>
          </cell>
          <cell r="E100">
            <v>0</v>
          </cell>
          <cell r="F100">
            <v>0</v>
          </cell>
          <cell r="G100">
            <v>0</v>
          </cell>
          <cell r="H100">
            <v>0</v>
          </cell>
          <cell r="I100">
            <v>0</v>
          </cell>
          <cell r="J100">
            <v>0</v>
          </cell>
        </row>
        <row r="101">
          <cell r="C101">
            <v>0</v>
          </cell>
          <cell r="D101">
            <v>0</v>
          </cell>
          <cell r="E101" t="str">
            <v xml:space="preserve">   Net Direct Plant</v>
          </cell>
          <cell r="F101">
            <v>0</v>
          </cell>
          <cell r="G101">
            <v>2706279542</v>
          </cell>
          <cell r="H101">
            <v>2286953784</v>
          </cell>
          <cell r="I101">
            <v>419325758</v>
          </cell>
          <cell r="J101">
            <v>0</v>
          </cell>
        </row>
        <row r="102">
          <cell r="C102">
            <v>0</v>
          </cell>
          <cell r="D102">
            <v>0</v>
          </cell>
          <cell r="E102" t="str">
            <v>Percentage</v>
          </cell>
          <cell r="F102">
            <v>0</v>
          </cell>
          <cell r="G102">
            <v>1</v>
          </cell>
          <cell r="H102">
            <v>0.84504999999999997</v>
          </cell>
          <cell r="I102">
            <v>0.15495</v>
          </cell>
          <cell r="J102">
            <v>0</v>
          </cell>
        </row>
        <row r="103">
          <cell r="C103">
            <v>0</v>
          </cell>
          <cell r="D103">
            <v>0</v>
          </cell>
          <cell r="E103">
            <v>0</v>
          </cell>
          <cell r="F103">
            <v>0</v>
          </cell>
          <cell r="G103">
            <v>0</v>
          </cell>
          <cell r="H103">
            <v>0</v>
          </cell>
          <cell r="I103">
            <v>0</v>
          </cell>
          <cell r="J103">
            <v>0</v>
          </cell>
        </row>
        <row r="104">
          <cell r="C104">
            <v>0</v>
          </cell>
          <cell r="D104">
            <v>0</v>
          </cell>
          <cell r="E104" t="str">
            <v>Total Percentages</v>
          </cell>
          <cell r="F104">
            <v>0</v>
          </cell>
          <cell r="G104">
            <v>4</v>
          </cell>
          <cell r="H104">
            <v>3.1393</v>
          </cell>
          <cell r="I104">
            <v>0.86070000000000002</v>
          </cell>
          <cell r="J104">
            <v>0</v>
          </cell>
        </row>
        <row r="105">
          <cell r="C105">
            <v>9</v>
          </cell>
          <cell r="D105">
            <v>0</v>
          </cell>
          <cell r="E105" t="str">
            <v>Average  (CD AN/ID/WA)</v>
          </cell>
          <cell r="F105">
            <v>0</v>
          </cell>
          <cell r="G105">
            <v>1</v>
          </cell>
          <cell r="H105">
            <v>0.78481999999999996</v>
          </cell>
          <cell r="I105">
            <v>0.21518000000000001</v>
          </cell>
          <cell r="J105">
            <v>0</v>
          </cell>
        </row>
        <row r="106">
          <cell r="C106">
            <v>0</v>
          </cell>
          <cell r="D106">
            <v>0</v>
          </cell>
          <cell r="E106">
            <v>0</v>
          </cell>
          <cell r="F106">
            <v>0</v>
          </cell>
          <cell r="G106">
            <v>0</v>
          </cell>
          <cell r="H106">
            <v>0</v>
          </cell>
          <cell r="I106">
            <v>0</v>
          </cell>
          <cell r="J106">
            <v>0</v>
          </cell>
        </row>
        <row r="107">
          <cell r="C107">
            <v>0</v>
          </cell>
          <cell r="D107">
            <v>0</v>
          </cell>
          <cell r="E107">
            <v>0</v>
          </cell>
          <cell r="G107">
            <v>0</v>
          </cell>
          <cell r="H107">
            <v>0</v>
          </cell>
          <cell r="I107">
            <v>0</v>
          </cell>
          <cell r="J107">
            <v>0</v>
          </cell>
        </row>
        <row r="108">
          <cell r="D108" t="str">
            <v>E-PLT</v>
          </cell>
          <cell r="E108" t="str">
            <v>Net Electric Distribution Plant - AMA</v>
          </cell>
          <cell r="F108" t="str">
            <v>12-01-2015 thru 12-31-2016</v>
          </cell>
          <cell r="G108">
            <v>1023558708</v>
          </cell>
          <cell r="H108">
            <v>675072411</v>
          </cell>
          <cell r="I108">
            <v>348486297</v>
          </cell>
          <cell r="J108">
            <v>0</v>
          </cell>
        </row>
        <row r="109">
          <cell r="C109">
            <v>10</v>
          </cell>
          <cell r="D109">
            <v>0</v>
          </cell>
          <cell r="E109" t="str">
            <v xml:space="preserve">  Percent</v>
          </cell>
          <cell r="G109">
            <v>1</v>
          </cell>
          <cell r="H109">
            <v>0.65952999999999995</v>
          </cell>
          <cell r="I109">
            <v>0.34046999999999999</v>
          </cell>
          <cell r="J109">
            <v>0</v>
          </cell>
        </row>
        <row r="110">
          <cell r="C110">
            <v>0</v>
          </cell>
          <cell r="D110">
            <v>0</v>
          </cell>
          <cell r="E110">
            <v>0</v>
          </cell>
          <cell r="G110">
            <v>0</v>
          </cell>
          <cell r="H110">
            <v>0</v>
          </cell>
          <cell r="I110">
            <v>0</v>
          </cell>
          <cell r="J110">
            <v>0</v>
          </cell>
        </row>
        <row r="111">
          <cell r="C111">
            <v>0</v>
          </cell>
          <cell r="D111">
            <v>0</v>
          </cell>
          <cell r="E111">
            <v>0</v>
          </cell>
          <cell r="G111">
            <v>0</v>
          </cell>
          <cell r="H111">
            <v>0</v>
          </cell>
          <cell r="I111">
            <v>0</v>
          </cell>
          <cell r="J111">
            <v>0</v>
          </cell>
        </row>
        <row r="112">
          <cell r="D112">
            <v>0</v>
          </cell>
          <cell r="E112" t="str">
            <v>Book Depreciation</v>
          </cell>
          <cell r="F112" t="str">
            <v>01-01-2016 thru 12-31-2016</v>
          </cell>
          <cell r="G112">
            <v>101849867</v>
          </cell>
          <cell r="H112">
            <v>66335712</v>
          </cell>
          <cell r="I112">
            <v>35514155</v>
          </cell>
          <cell r="J112">
            <v>0</v>
          </cell>
        </row>
        <row r="113">
          <cell r="C113">
            <v>11</v>
          </cell>
          <cell r="E113" t="str">
            <v xml:space="preserve">  Percent</v>
          </cell>
          <cell r="G113">
            <v>1</v>
          </cell>
          <cell r="H113">
            <v>0.65130999999999994</v>
          </cell>
          <cell r="I113">
            <v>0.34869</v>
          </cell>
          <cell r="J113">
            <v>0</v>
          </cell>
        </row>
        <row r="114">
          <cell r="C114">
            <v>0</v>
          </cell>
          <cell r="E114">
            <v>0</v>
          </cell>
          <cell r="G114">
            <v>0</v>
          </cell>
          <cell r="H114">
            <v>0</v>
          </cell>
          <cell r="I114">
            <v>0</v>
          </cell>
          <cell r="J114">
            <v>0</v>
          </cell>
        </row>
        <row r="115">
          <cell r="C115">
            <v>0</v>
          </cell>
          <cell r="D115">
            <v>0</v>
          </cell>
          <cell r="E115">
            <v>0</v>
          </cell>
          <cell r="G115">
            <v>0</v>
          </cell>
          <cell r="H115">
            <v>0</v>
          </cell>
          <cell r="I115">
            <v>0</v>
          </cell>
          <cell r="J115">
            <v>0</v>
          </cell>
        </row>
        <row r="116">
          <cell r="D116">
            <v>0</v>
          </cell>
          <cell r="E116" t="str">
            <v>Net Electric Plant (before DFIT) - AMA</v>
          </cell>
          <cell r="F116" t="str">
            <v>12-01-2015 thru 12-31-2016</v>
          </cell>
          <cell r="G116">
            <v>2619856983</v>
          </cell>
          <cell r="H116">
            <v>1729585131</v>
          </cell>
          <cell r="I116">
            <v>890271852</v>
          </cell>
          <cell r="J116">
            <v>0</v>
          </cell>
        </row>
        <row r="117">
          <cell r="C117">
            <v>12</v>
          </cell>
          <cell r="D117">
            <v>0</v>
          </cell>
          <cell r="E117" t="str">
            <v xml:space="preserve">  Percent</v>
          </cell>
          <cell r="G117">
            <v>1</v>
          </cell>
          <cell r="H117">
            <v>0.66017999999999999</v>
          </cell>
          <cell r="I117">
            <v>0.33982000000000001</v>
          </cell>
          <cell r="J117">
            <v>0</v>
          </cell>
        </row>
        <row r="118">
          <cell r="C118">
            <v>0</v>
          </cell>
          <cell r="D118">
            <v>0</v>
          </cell>
          <cell r="E118">
            <v>0</v>
          </cell>
          <cell r="G118">
            <v>0</v>
          </cell>
          <cell r="H118">
            <v>0</v>
          </cell>
          <cell r="I118">
            <v>0</v>
          </cell>
          <cell r="J118">
            <v>0</v>
          </cell>
        </row>
        <row r="119">
          <cell r="C119">
            <v>0</v>
          </cell>
          <cell r="D119">
            <v>0</v>
          </cell>
          <cell r="E119">
            <v>0</v>
          </cell>
          <cell r="G119">
            <v>0</v>
          </cell>
          <cell r="H119">
            <v>0</v>
          </cell>
          <cell r="I119">
            <v>0</v>
          </cell>
          <cell r="J119">
            <v>0</v>
          </cell>
        </row>
        <row r="120">
          <cell r="D120" t="str">
            <v>E-PLT</v>
          </cell>
          <cell r="E120" t="str">
            <v>Net Electric General Plant - AMA</v>
          </cell>
          <cell r="F120" t="str">
            <v>12-01-2015 thru 12-31-2016</v>
          </cell>
          <cell r="G120">
            <v>230327259</v>
          </cell>
          <cell r="H120">
            <v>153460246</v>
          </cell>
          <cell r="I120">
            <v>76867013</v>
          </cell>
          <cell r="J120">
            <v>0</v>
          </cell>
        </row>
        <row r="121">
          <cell r="C121">
            <v>13</v>
          </cell>
          <cell r="D121">
            <v>0</v>
          </cell>
          <cell r="E121" t="str">
            <v xml:space="preserve">  Percent</v>
          </cell>
          <cell r="G121">
            <v>1</v>
          </cell>
          <cell r="H121">
            <v>0.66627000000000003</v>
          </cell>
          <cell r="I121">
            <v>0.33373000000000003</v>
          </cell>
          <cell r="J121">
            <v>0</v>
          </cell>
        </row>
        <row r="122">
          <cell r="C122">
            <v>0</v>
          </cell>
          <cell r="D122">
            <v>0</v>
          </cell>
          <cell r="E122">
            <v>0</v>
          </cell>
          <cell r="G122">
            <v>0</v>
          </cell>
          <cell r="H122">
            <v>0</v>
          </cell>
          <cell r="I122">
            <v>0</v>
          </cell>
          <cell r="J122">
            <v>0</v>
          </cell>
        </row>
        <row r="123">
          <cell r="C123">
            <v>0</v>
          </cell>
          <cell r="D123">
            <v>0</v>
          </cell>
          <cell r="E123" t="str">
            <v>Net Allocated Schedule M's - AMA</v>
          </cell>
          <cell r="F123" t="str">
            <v>01-01-2016 thru 12-31-2016</v>
          </cell>
          <cell r="G123">
            <v>-258361891</v>
          </cell>
          <cell r="H123">
            <v>-167289500</v>
          </cell>
          <cell r="I123">
            <v>-91072391</v>
          </cell>
          <cell r="J123">
            <v>0</v>
          </cell>
        </row>
        <row r="124">
          <cell r="C124">
            <v>14</v>
          </cell>
          <cell r="D124">
            <v>0</v>
          </cell>
          <cell r="E124" t="str">
            <v xml:space="preserve">  Percent</v>
          </cell>
          <cell r="G124">
            <v>1</v>
          </cell>
          <cell r="H124">
            <v>0.64749999999999996</v>
          </cell>
          <cell r="I124">
            <v>0.35249999999999998</v>
          </cell>
          <cell r="J124">
            <v>0</v>
          </cell>
        </row>
        <row r="125">
          <cell r="C125">
            <v>0</v>
          </cell>
          <cell r="D125">
            <v>0</v>
          </cell>
          <cell r="E125">
            <v>0</v>
          </cell>
          <cell r="G125">
            <v>0</v>
          </cell>
          <cell r="H125">
            <v>0</v>
          </cell>
          <cell r="I125">
            <v>0</v>
          </cell>
          <cell r="J125">
            <v>0</v>
          </cell>
        </row>
        <row r="126">
          <cell r="C126">
            <v>0</v>
          </cell>
          <cell r="D126">
            <v>0</v>
          </cell>
          <cell r="E126">
            <v>0</v>
          </cell>
          <cell r="G126">
            <v>0</v>
          </cell>
          <cell r="H126">
            <v>0</v>
          </cell>
          <cell r="I126">
            <v>0</v>
          </cell>
          <cell r="J126">
            <v>0</v>
          </cell>
        </row>
        <row r="127">
          <cell r="C127">
            <v>0</v>
          </cell>
          <cell r="D127">
            <v>0</v>
          </cell>
          <cell r="E127">
            <v>0</v>
          </cell>
          <cell r="G127">
            <v>0</v>
          </cell>
          <cell r="H127">
            <v>0</v>
          </cell>
          <cell r="I127">
            <v>0</v>
          </cell>
          <cell r="J127">
            <v>0</v>
          </cell>
        </row>
        <row r="128">
          <cell r="C128">
            <v>99</v>
          </cell>
          <cell r="D128" t="str">
            <v>Input</v>
          </cell>
          <cell r="E128" t="str">
            <v>Not Allocated</v>
          </cell>
          <cell r="G128">
            <v>0</v>
          </cell>
          <cell r="H128">
            <v>0</v>
          </cell>
          <cell r="I128">
            <v>0</v>
          </cell>
          <cell r="J128">
            <v>0</v>
          </cell>
        </row>
        <row r="129">
          <cell r="C129">
            <v>0</v>
          </cell>
          <cell r="D129">
            <v>0</v>
          </cell>
          <cell r="E129" t="str">
            <v>**** The following is obsolete as of 201111 and will not be printed. ***</v>
          </cell>
          <cell r="G129">
            <v>0</v>
          </cell>
          <cell r="H129">
            <v>0</v>
          </cell>
          <cell r="I129">
            <v>0</v>
          </cell>
          <cell r="J129">
            <v>0</v>
          </cell>
        </row>
        <row r="130">
          <cell r="C130">
            <v>0</v>
          </cell>
          <cell r="D130">
            <v>0</v>
          </cell>
          <cell r="E130" t="str">
            <v>Situs Plant by Functional Group:</v>
          </cell>
          <cell r="G130">
            <v>0</v>
          </cell>
          <cell r="H130">
            <v>0</v>
          </cell>
          <cell r="I130">
            <v>0</v>
          </cell>
          <cell r="J130">
            <v>0</v>
          </cell>
        </row>
        <row r="131">
          <cell r="C131">
            <v>0</v>
          </cell>
          <cell r="D131">
            <v>0</v>
          </cell>
          <cell r="E131" t="str">
            <v>(Used to functionalize R&amp;P Property Tax for COS)</v>
          </cell>
          <cell r="G131">
            <v>0</v>
          </cell>
          <cell r="H131">
            <v>0</v>
          </cell>
          <cell r="I131">
            <v>0</v>
          </cell>
          <cell r="J131">
            <v>0</v>
          </cell>
        </row>
        <row r="132">
          <cell r="C132">
            <v>0</v>
          </cell>
          <cell r="D132">
            <v>0</v>
          </cell>
          <cell r="G132" t="str">
            <v>Washington</v>
          </cell>
          <cell r="H132" t="str">
            <v>Idaho</v>
          </cell>
          <cell r="I132" t="str">
            <v>Montana</v>
          </cell>
          <cell r="J132" t="str">
            <v>Oregon</v>
          </cell>
        </row>
        <row r="133">
          <cell r="C133">
            <v>0</v>
          </cell>
          <cell r="D133">
            <v>0</v>
          </cell>
          <cell r="E133" t="str">
            <v>Balance Date</v>
          </cell>
          <cell r="F133">
            <v>0</v>
          </cell>
          <cell r="G133">
            <v>0</v>
          </cell>
          <cell r="H133">
            <v>0</v>
          </cell>
          <cell r="I133">
            <v>0</v>
          </cell>
          <cell r="J133">
            <v>0</v>
          </cell>
        </row>
        <row r="134">
          <cell r="C134">
            <v>0</v>
          </cell>
          <cell r="D134" t="str">
            <v>Input</v>
          </cell>
          <cell r="E134" t="str">
            <v>Production</v>
          </cell>
          <cell r="G134">
            <v>0</v>
          </cell>
          <cell r="H134">
            <v>0</v>
          </cell>
          <cell r="I134">
            <v>0</v>
          </cell>
          <cell r="J134">
            <v>0</v>
          </cell>
        </row>
        <row r="135">
          <cell r="C135">
            <v>0</v>
          </cell>
          <cell r="D135" t="str">
            <v>Input</v>
          </cell>
          <cell r="E135" t="str">
            <v>Transmission</v>
          </cell>
          <cell r="G135">
            <v>0</v>
          </cell>
          <cell r="H135">
            <v>0</v>
          </cell>
          <cell r="I135">
            <v>0</v>
          </cell>
          <cell r="J135">
            <v>0</v>
          </cell>
        </row>
        <row r="136">
          <cell r="C136">
            <v>0</v>
          </cell>
          <cell r="D136" t="str">
            <v>Input</v>
          </cell>
          <cell r="E136" t="str">
            <v>Distribution</v>
          </cell>
          <cell r="G136">
            <v>0</v>
          </cell>
          <cell r="H136">
            <v>0</v>
          </cell>
          <cell r="I136">
            <v>0</v>
          </cell>
          <cell r="J136">
            <v>0</v>
          </cell>
        </row>
        <row r="137">
          <cell r="C137">
            <v>0</v>
          </cell>
          <cell r="D137" t="str">
            <v>Input</v>
          </cell>
          <cell r="E137" t="str">
            <v>General</v>
          </cell>
          <cell r="G137">
            <v>0</v>
          </cell>
          <cell r="H137">
            <v>0</v>
          </cell>
          <cell r="I137">
            <v>0</v>
          </cell>
          <cell r="J137">
            <v>0</v>
          </cell>
        </row>
        <row r="138">
          <cell r="C138">
            <v>0</v>
          </cell>
          <cell r="D138">
            <v>0</v>
          </cell>
          <cell r="E138" t="str">
            <v xml:space="preserve">  TOTAL</v>
          </cell>
          <cell r="G138">
            <v>0</v>
          </cell>
          <cell r="H138">
            <v>0</v>
          </cell>
          <cell r="I138">
            <v>0</v>
          </cell>
          <cell r="J138">
            <v>0</v>
          </cell>
        </row>
      </sheetData>
      <sheetData sheetId="5">
        <row r="27">
          <cell r="O27">
            <v>677111810</v>
          </cell>
        </row>
      </sheetData>
      <sheetData sheetId="6"/>
      <sheetData sheetId="7"/>
      <sheetData sheetId="8"/>
      <sheetData sheetId="9"/>
      <sheetData sheetId="10">
        <row r="15">
          <cell r="G15">
            <v>39301995</v>
          </cell>
        </row>
      </sheetData>
      <sheetData sheetId="11"/>
      <sheetData sheetId="12"/>
      <sheetData sheetId="13"/>
      <sheetData sheetId="14">
        <row r="23">
          <cell r="M23">
            <v>60161435</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45 Response"/>
    </sheetNames>
    <sheetDataSet>
      <sheetData sheetId="0">
        <row r="73">
          <cell r="E73">
            <v>4427214.5</v>
          </cell>
        </row>
        <row r="74">
          <cell r="E74">
            <v>368404.44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oo database'!$A$7:$M$1952"/>
    </definedNames>
    <sheetDataSet>
      <sheetData sheetId="0">
        <row r="7">
          <cell r="A7" t="str">
            <v>RecType</v>
          </cell>
          <cell r="B7" t="str">
            <v>Utility</v>
          </cell>
          <cell r="C7" t="str">
            <v>Main</v>
          </cell>
          <cell r="D7" t="str">
            <v>Sub</v>
          </cell>
          <cell r="E7" t="str">
            <v>WO</v>
          </cell>
          <cell r="F7" t="str">
            <v>Loc</v>
          </cell>
          <cell r="G7" t="str">
            <v>Key</v>
          </cell>
          <cell r="H7" t="str">
            <v>Tamt</v>
          </cell>
          <cell r="I7" t="str">
            <v>Aamt</v>
          </cell>
          <cell r="J7" t="str">
            <v>DWamt</v>
          </cell>
          <cell r="K7" t="str">
            <v>DIamt</v>
          </cell>
          <cell r="L7" t="str">
            <v>DFamt</v>
          </cell>
        </row>
        <row r="8">
          <cell r="A8">
            <v>1</v>
          </cell>
          <cell r="B8">
            <v>0</v>
          </cell>
          <cell r="C8">
            <v>400</v>
          </cell>
          <cell r="D8" t="str">
            <v xml:space="preserve">  </v>
          </cell>
          <cell r="E8" t="str">
            <v xml:space="preserve">    </v>
          </cell>
          <cell r="F8" t="str">
            <v xml:space="preserve">   </v>
          </cell>
          <cell r="G8">
            <v>10400</v>
          </cell>
          <cell r="H8">
            <v>-268562</v>
          </cell>
          <cell r="I8">
            <v>0</v>
          </cell>
          <cell r="J8">
            <v>-132576</v>
          </cell>
          <cell r="K8">
            <v>-135986</v>
          </cell>
          <cell r="L8">
            <v>0</v>
          </cell>
        </row>
        <row r="9">
          <cell r="A9">
            <v>2</v>
          </cell>
          <cell r="B9">
            <v>0</v>
          </cell>
          <cell r="C9">
            <v>400</v>
          </cell>
          <cell r="D9" t="str">
            <v xml:space="preserve">  </v>
          </cell>
          <cell r="E9" t="str">
            <v xml:space="preserve">    </v>
          </cell>
          <cell r="F9" t="str">
            <v xml:space="preserve">   </v>
          </cell>
          <cell r="G9">
            <v>20400</v>
          </cell>
          <cell r="H9">
            <v>-1687885</v>
          </cell>
          <cell r="I9">
            <v>0</v>
          </cell>
          <cell r="J9">
            <v>-1048336</v>
          </cell>
          <cell r="K9">
            <v>-639549</v>
          </cell>
          <cell r="L9">
            <v>0</v>
          </cell>
        </row>
        <row r="10">
          <cell r="A10">
            <v>1</v>
          </cell>
          <cell r="B10">
            <v>0</v>
          </cell>
          <cell r="C10">
            <v>405</v>
          </cell>
          <cell r="D10" t="str">
            <v xml:space="preserve">  </v>
          </cell>
          <cell r="E10" t="str">
            <v xml:space="preserve">    </v>
          </cell>
          <cell r="F10" t="str">
            <v xml:space="preserve">   </v>
          </cell>
          <cell r="G10">
            <v>10405</v>
          </cell>
          <cell r="H10">
            <v>561566</v>
          </cell>
          <cell r="I10">
            <v>0</v>
          </cell>
          <cell r="J10">
            <v>210994</v>
          </cell>
          <cell r="K10">
            <v>350572</v>
          </cell>
          <cell r="L10">
            <v>0</v>
          </cell>
        </row>
        <row r="11">
          <cell r="A11">
            <v>2</v>
          </cell>
          <cell r="B11">
            <v>0</v>
          </cell>
          <cell r="C11">
            <v>405</v>
          </cell>
          <cell r="D11" t="str">
            <v xml:space="preserve">  </v>
          </cell>
          <cell r="E11" t="str">
            <v xml:space="preserve">    </v>
          </cell>
          <cell r="F11" t="str">
            <v xml:space="preserve">   </v>
          </cell>
          <cell r="G11">
            <v>20405</v>
          </cell>
          <cell r="H11">
            <v>6591834</v>
          </cell>
          <cell r="I11">
            <v>0</v>
          </cell>
          <cell r="J11">
            <v>2531928</v>
          </cell>
          <cell r="K11">
            <v>4059906</v>
          </cell>
          <cell r="L11">
            <v>0</v>
          </cell>
        </row>
        <row r="12">
          <cell r="A12">
            <v>1</v>
          </cell>
          <cell r="B12">
            <v>0</v>
          </cell>
          <cell r="C12">
            <v>406</v>
          </cell>
          <cell r="D12" t="str">
            <v xml:space="preserve">  </v>
          </cell>
          <cell r="E12" t="str">
            <v xml:space="preserve">    </v>
          </cell>
          <cell r="F12" t="str">
            <v xml:space="preserve">   </v>
          </cell>
          <cell r="G12">
            <v>10406</v>
          </cell>
          <cell r="H12">
            <v>8254</v>
          </cell>
          <cell r="I12">
            <v>0</v>
          </cell>
          <cell r="J12">
            <v>2645</v>
          </cell>
          <cell r="K12">
            <v>5609</v>
          </cell>
          <cell r="L12">
            <v>0</v>
          </cell>
        </row>
        <row r="13">
          <cell r="A13">
            <v>2</v>
          </cell>
          <cell r="B13">
            <v>0</v>
          </cell>
          <cell r="C13">
            <v>406</v>
          </cell>
          <cell r="D13" t="str">
            <v xml:space="preserve">  </v>
          </cell>
          <cell r="E13" t="str">
            <v xml:space="preserve">    </v>
          </cell>
          <cell r="F13" t="str">
            <v xml:space="preserve">   </v>
          </cell>
          <cell r="G13">
            <v>20406</v>
          </cell>
          <cell r="H13">
            <v>99048</v>
          </cell>
          <cell r="I13">
            <v>0</v>
          </cell>
          <cell r="J13">
            <v>31740</v>
          </cell>
          <cell r="K13">
            <v>67308</v>
          </cell>
          <cell r="L13">
            <v>0</v>
          </cell>
        </row>
        <row r="14">
          <cell r="A14">
            <v>1</v>
          </cell>
          <cell r="B14">
            <v>0</v>
          </cell>
          <cell r="C14">
            <v>440</v>
          </cell>
          <cell r="D14" t="str">
            <v xml:space="preserve">  </v>
          </cell>
          <cell r="E14" t="str">
            <v xml:space="preserve">    </v>
          </cell>
          <cell r="F14" t="str">
            <v xml:space="preserve">   </v>
          </cell>
          <cell r="G14">
            <v>10440</v>
          </cell>
          <cell r="H14">
            <v>-16443297.189999999</v>
          </cell>
          <cell r="I14">
            <v>0</v>
          </cell>
          <cell r="J14">
            <v>-11333256.33</v>
          </cell>
          <cell r="K14">
            <v>-5110040.8600000003</v>
          </cell>
          <cell r="L14">
            <v>0</v>
          </cell>
        </row>
        <row r="15">
          <cell r="A15">
            <v>2</v>
          </cell>
          <cell r="B15">
            <v>0</v>
          </cell>
          <cell r="C15">
            <v>440</v>
          </cell>
          <cell r="D15" t="str">
            <v xml:space="preserve">  </v>
          </cell>
          <cell r="E15" t="str">
            <v xml:space="preserve">    </v>
          </cell>
          <cell r="F15" t="str">
            <v xml:space="preserve">   </v>
          </cell>
          <cell r="G15">
            <v>20440</v>
          </cell>
          <cell r="H15">
            <v>-156399388.72999999</v>
          </cell>
          <cell r="I15">
            <v>0</v>
          </cell>
          <cell r="J15">
            <v>-108444310.06</v>
          </cell>
          <cell r="K15">
            <v>-47955078.670000002</v>
          </cell>
          <cell r="L15">
            <v>0</v>
          </cell>
        </row>
        <row r="16">
          <cell r="A16">
            <v>1</v>
          </cell>
          <cell r="B16">
            <v>0</v>
          </cell>
          <cell r="C16">
            <v>444</v>
          </cell>
          <cell r="D16" t="str">
            <v xml:space="preserve">  </v>
          </cell>
          <cell r="E16" t="str">
            <v xml:space="preserve">    </v>
          </cell>
          <cell r="F16" t="str">
            <v xml:space="preserve">   </v>
          </cell>
          <cell r="G16">
            <v>10444</v>
          </cell>
          <cell r="H16">
            <v>-291330.40000000002</v>
          </cell>
          <cell r="I16">
            <v>0</v>
          </cell>
          <cell r="J16">
            <v>-209112.63</v>
          </cell>
          <cell r="K16">
            <v>-82217.77</v>
          </cell>
          <cell r="L16">
            <v>0</v>
          </cell>
        </row>
        <row r="17">
          <cell r="A17">
            <v>2</v>
          </cell>
          <cell r="B17">
            <v>0</v>
          </cell>
          <cell r="C17">
            <v>444</v>
          </cell>
          <cell r="D17" t="str">
            <v xml:space="preserve">  </v>
          </cell>
          <cell r="E17" t="str">
            <v xml:space="preserve">    </v>
          </cell>
          <cell r="F17" t="str">
            <v xml:space="preserve">   </v>
          </cell>
          <cell r="G17">
            <v>20444</v>
          </cell>
          <cell r="H17">
            <v>-3387424.28</v>
          </cell>
          <cell r="I17">
            <v>0</v>
          </cell>
          <cell r="J17">
            <v>-2430130.85</v>
          </cell>
          <cell r="K17">
            <v>-957293.43</v>
          </cell>
          <cell r="L17">
            <v>0</v>
          </cell>
        </row>
        <row r="18">
          <cell r="A18">
            <v>1</v>
          </cell>
          <cell r="B18">
            <v>0</v>
          </cell>
          <cell r="C18">
            <v>447</v>
          </cell>
          <cell r="D18" t="str">
            <v xml:space="preserve">  </v>
          </cell>
          <cell r="E18" t="str">
            <v xml:space="preserve">    </v>
          </cell>
          <cell r="F18" t="str">
            <v xml:space="preserve">   </v>
          </cell>
          <cell r="G18">
            <v>10447</v>
          </cell>
          <cell r="H18">
            <v>-46328276.350000001</v>
          </cell>
          <cell r="I18">
            <v>-46328276.350000001</v>
          </cell>
          <cell r="J18">
            <v>0</v>
          </cell>
          <cell r="K18">
            <v>0</v>
          </cell>
          <cell r="L18">
            <v>0</v>
          </cell>
        </row>
        <row r="19">
          <cell r="A19">
            <v>2</v>
          </cell>
          <cell r="B19">
            <v>0</v>
          </cell>
          <cell r="C19">
            <v>447</v>
          </cell>
          <cell r="D19" t="str">
            <v xml:space="preserve">  </v>
          </cell>
          <cell r="E19" t="str">
            <v xml:space="preserve">    </v>
          </cell>
          <cell r="F19" t="str">
            <v xml:space="preserve">   </v>
          </cell>
          <cell r="G19">
            <v>20447</v>
          </cell>
          <cell r="H19">
            <v>-457340917.98000002</v>
          </cell>
          <cell r="I19">
            <v>-457340917.98000002</v>
          </cell>
          <cell r="J19">
            <v>0</v>
          </cell>
          <cell r="K19">
            <v>0</v>
          </cell>
          <cell r="L19">
            <v>0</v>
          </cell>
        </row>
        <row r="20">
          <cell r="A20">
            <v>1</v>
          </cell>
          <cell r="B20">
            <v>0</v>
          </cell>
          <cell r="C20">
            <v>448</v>
          </cell>
          <cell r="D20" t="str">
            <v xml:space="preserve">  </v>
          </cell>
          <cell r="E20" t="str">
            <v xml:space="preserve">    </v>
          </cell>
          <cell r="F20" t="str">
            <v xml:space="preserve">   </v>
          </cell>
          <cell r="G20">
            <v>10448</v>
          </cell>
          <cell r="H20">
            <v>-68609.88</v>
          </cell>
          <cell r="I20">
            <v>0</v>
          </cell>
          <cell r="J20">
            <v>-59222.25</v>
          </cell>
          <cell r="K20">
            <v>-9387.6299999999992</v>
          </cell>
          <cell r="L20">
            <v>0</v>
          </cell>
        </row>
        <row r="21">
          <cell r="A21">
            <v>2</v>
          </cell>
          <cell r="B21">
            <v>0</v>
          </cell>
          <cell r="C21">
            <v>448</v>
          </cell>
          <cell r="D21" t="str">
            <v xml:space="preserve">  </v>
          </cell>
          <cell r="E21" t="str">
            <v xml:space="preserve">    </v>
          </cell>
          <cell r="F21" t="str">
            <v xml:space="preserve">   </v>
          </cell>
          <cell r="G21">
            <v>20448</v>
          </cell>
          <cell r="H21">
            <v>-713870.76</v>
          </cell>
          <cell r="I21">
            <v>0</v>
          </cell>
          <cell r="J21">
            <v>-639734.32999999996</v>
          </cell>
          <cell r="K21">
            <v>-74136.429999999993</v>
          </cell>
          <cell r="L21">
            <v>0</v>
          </cell>
        </row>
        <row r="22">
          <cell r="A22">
            <v>1</v>
          </cell>
          <cell r="B22">
            <v>0</v>
          </cell>
          <cell r="C22">
            <v>451</v>
          </cell>
          <cell r="D22" t="str">
            <v xml:space="preserve">  </v>
          </cell>
          <cell r="E22" t="str">
            <v xml:space="preserve">    </v>
          </cell>
          <cell r="F22" t="str">
            <v xml:space="preserve">   </v>
          </cell>
          <cell r="G22">
            <v>10451</v>
          </cell>
          <cell r="H22">
            <v>-99203.78</v>
          </cell>
          <cell r="I22">
            <v>0</v>
          </cell>
          <cell r="J22">
            <v>-70713.600000000006</v>
          </cell>
          <cell r="K22">
            <v>-28490.18</v>
          </cell>
          <cell r="L22">
            <v>0</v>
          </cell>
        </row>
        <row r="23">
          <cell r="A23">
            <v>2</v>
          </cell>
          <cell r="B23">
            <v>0</v>
          </cell>
          <cell r="C23">
            <v>451</v>
          </cell>
          <cell r="D23" t="str">
            <v xml:space="preserve">  </v>
          </cell>
          <cell r="E23" t="str">
            <v xml:space="preserve">    </v>
          </cell>
          <cell r="F23" t="str">
            <v xml:space="preserve">   </v>
          </cell>
          <cell r="G23">
            <v>20451</v>
          </cell>
          <cell r="H23">
            <v>-1807615.23</v>
          </cell>
          <cell r="I23">
            <v>0</v>
          </cell>
          <cell r="J23">
            <v>-1295944.6599999999</v>
          </cell>
          <cell r="K23">
            <v>-511670.57</v>
          </cell>
          <cell r="L23">
            <v>0</v>
          </cell>
        </row>
        <row r="24">
          <cell r="A24">
            <v>1</v>
          </cell>
          <cell r="B24">
            <v>0</v>
          </cell>
          <cell r="C24">
            <v>453</v>
          </cell>
          <cell r="D24" t="str">
            <v xml:space="preserve">  </v>
          </cell>
          <cell r="E24" t="str">
            <v xml:space="preserve">    </v>
          </cell>
          <cell r="F24" t="str">
            <v xml:space="preserve">   </v>
          </cell>
          <cell r="G24">
            <v>10453</v>
          </cell>
          <cell r="H24">
            <v>-74869.36</v>
          </cell>
          <cell r="I24">
            <v>-74869.36</v>
          </cell>
          <cell r="J24">
            <v>0</v>
          </cell>
          <cell r="K24">
            <v>0</v>
          </cell>
          <cell r="L24">
            <v>0</v>
          </cell>
        </row>
        <row r="25">
          <cell r="A25">
            <v>2</v>
          </cell>
          <cell r="B25">
            <v>0</v>
          </cell>
          <cell r="C25">
            <v>453</v>
          </cell>
          <cell r="D25" t="str">
            <v xml:space="preserve">  </v>
          </cell>
          <cell r="E25" t="str">
            <v xml:space="preserve">    </v>
          </cell>
          <cell r="F25" t="str">
            <v xml:space="preserve">   </v>
          </cell>
          <cell r="G25">
            <v>20453</v>
          </cell>
          <cell r="H25">
            <v>-448426.22</v>
          </cell>
          <cell r="I25">
            <v>-448426.22</v>
          </cell>
          <cell r="J25">
            <v>0</v>
          </cell>
          <cell r="K25">
            <v>0</v>
          </cell>
          <cell r="L25">
            <v>0</v>
          </cell>
        </row>
        <row r="26">
          <cell r="A26">
            <v>1</v>
          </cell>
          <cell r="B26">
            <v>0</v>
          </cell>
          <cell r="C26">
            <v>454</v>
          </cell>
          <cell r="D26" t="str">
            <v xml:space="preserve">  </v>
          </cell>
          <cell r="E26" t="str">
            <v xml:space="preserve">    </v>
          </cell>
          <cell r="F26" t="str">
            <v xml:space="preserve">   </v>
          </cell>
          <cell r="G26">
            <v>10454</v>
          </cell>
          <cell r="H26">
            <v>-801790.55</v>
          </cell>
          <cell r="I26">
            <v>-86767.35</v>
          </cell>
          <cell r="J26">
            <v>-410060</v>
          </cell>
          <cell r="K26">
            <v>-304963.20000000001</v>
          </cell>
          <cell r="L26">
            <v>0</v>
          </cell>
        </row>
        <row r="27">
          <cell r="A27">
            <v>2</v>
          </cell>
          <cell r="B27">
            <v>0</v>
          </cell>
          <cell r="C27">
            <v>454</v>
          </cell>
          <cell r="D27" t="str">
            <v xml:space="preserve">  </v>
          </cell>
          <cell r="E27" t="str">
            <v xml:space="preserve">    </v>
          </cell>
          <cell r="F27" t="str">
            <v xml:space="preserve">   </v>
          </cell>
          <cell r="G27">
            <v>20454</v>
          </cell>
          <cell r="H27">
            <v>-2039709.16</v>
          </cell>
          <cell r="I27">
            <v>-638322.59</v>
          </cell>
          <cell r="J27">
            <v>-961242.87</v>
          </cell>
          <cell r="K27">
            <v>-440143.7</v>
          </cell>
          <cell r="L27">
            <v>0</v>
          </cell>
        </row>
        <row r="28">
          <cell r="A28">
            <v>1</v>
          </cell>
          <cell r="B28">
            <v>0</v>
          </cell>
          <cell r="C28">
            <v>500</v>
          </cell>
          <cell r="D28" t="str">
            <v xml:space="preserve">  </v>
          </cell>
          <cell r="E28" t="str">
            <v xml:space="preserve">    </v>
          </cell>
          <cell r="F28" t="str">
            <v xml:space="preserve">   </v>
          </cell>
          <cell r="G28">
            <v>10500</v>
          </cell>
          <cell r="H28">
            <v>62864.02</v>
          </cell>
          <cell r="I28">
            <v>62864.02</v>
          </cell>
          <cell r="J28">
            <v>0</v>
          </cell>
          <cell r="K28">
            <v>0</v>
          </cell>
          <cell r="L28">
            <v>0</v>
          </cell>
        </row>
        <row r="29">
          <cell r="A29">
            <v>2</v>
          </cell>
          <cell r="B29">
            <v>0</v>
          </cell>
          <cell r="C29">
            <v>500</v>
          </cell>
          <cell r="D29" t="str">
            <v xml:space="preserve">  </v>
          </cell>
          <cell r="E29" t="str">
            <v xml:space="preserve">    </v>
          </cell>
          <cell r="F29" t="str">
            <v xml:space="preserve">   </v>
          </cell>
          <cell r="G29">
            <v>20500</v>
          </cell>
          <cell r="H29">
            <v>684356.75</v>
          </cell>
          <cell r="I29">
            <v>684356.75</v>
          </cell>
          <cell r="J29">
            <v>0</v>
          </cell>
          <cell r="K29">
            <v>0</v>
          </cell>
          <cell r="L29">
            <v>0</v>
          </cell>
        </row>
        <row r="30">
          <cell r="A30">
            <v>1</v>
          </cell>
          <cell r="B30">
            <v>0</v>
          </cell>
          <cell r="C30">
            <v>501</v>
          </cell>
          <cell r="D30" t="str">
            <v xml:space="preserve">  </v>
          </cell>
          <cell r="E30" t="str">
            <v xml:space="preserve">    </v>
          </cell>
          <cell r="F30" t="str">
            <v xml:space="preserve">   </v>
          </cell>
          <cell r="G30">
            <v>10501</v>
          </cell>
          <cell r="H30">
            <v>4159147.75</v>
          </cell>
          <cell r="I30">
            <v>4159147.75</v>
          </cell>
          <cell r="J30">
            <v>0</v>
          </cell>
          <cell r="K30">
            <v>0</v>
          </cell>
          <cell r="L30">
            <v>0</v>
          </cell>
        </row>
        <row r="31">
          <cell r="A31">
            <v>2</v>
          </cell>
          <cell r="B31">
            <v>0</v>
          </cell>
          <cell r="C31">
            <v>501</v>
          </cell>
          <cell r="D31" t="str">
            <v xml:space="preserve">  </v>
          </cell>
          <cell r="E31" t="str">
            <v xml:space="preserve">    </v>
          </cell>
          <cell r="F31" t="str">
            <v xml:space="preserve">   </v>
          </cell>
          <cell r="G31">
            <v>20501</v>
          </cell>
          <cell r="H31">
            <v>36889838.32</v>
          </cell>
          <cell r="I31">
            <v>36889838.32</v>
          </cell>
          <cell r="J31">
            <v>0</v>
          </cell>
          <cell r="K31">
            <v>0</v>
          </cell>
          <cell r="L31">
            <v>0</v>
          </cell>
        </row>
        <row r="32">
          <cell r="A32">
            <v>1</v>
          </cell>
          <cell r="B32">
            <v>0</v>
          </cell>
          <cell r="C32">
            <v>502</v>
          </cell>
          <cell r="D32" t="str">
            <v xml:space="preserve">  </v>
          </cell>
          <cell r="E32" t="str">
            <v xml:space="preserve">    </v>
          </cell>
          <cell r="F32" t="str">
            <v xml:space="preserve">   </v>
          </cell>
          <cell r="G32">
            <v>10502</v>
          </cell>
          <cell r="H32">
            <v>135565.85</v>
          </cell>
          <cell r="I32">
            <v>135565.85</v>
          </cell>
          <cell r="J32">
            <v>0</v>
          </cell>
          <cell r="K32">
            <v>0</v>
          </cell>
          <cell r="L32">
            <v>0</v>
          </cell>
        </row>
        <row r="33">
          <cell r="A33">
            <v>2</v>
          </cell>
          <cell r="B33">
            <v>0</v>
          </cell>
          <cell r="C33">
            <v>502</v>
          </cell>
          <cell r="D33" t="str">
            <v xml:space="preserve">  </v>
          </cell>
          <cell r="E33" t="str">
            <v xml:space="preserve">    </v>
          </cell>
          <cell r="F33" t="str">
            <v xml:space="preserve">   </v>
          </cell>
          <cell r="G33">
            <v>20502</v>
          </cell>
          <cell r="H33">
            <v>1592806.88</v>
          </cell>
          <cell r="I33">
            <v>1592806.88</v>
          </cell>
          <cell r="J33">
            <v>0</v>
          </cell>
          <cell r="K33">
            <v>0</v>
          </cell>
          <cell r="L33">
            <v>0</v>
          </cell>
        </row>
        <row r="34">
          <cell r="A34">
            <v>1</v>
          </cell>
          <cell r="B34">
            <v>0</v>
          </cell>
          <cell r="C34">
            <v>503</v>
          </cell>
          <cell r="D34" t="str">
            <v xml:space="preserve">  </v>
          </cell>
          <cell r="E34" t="str">
            <v xml:space="preserve">    </v>
          </cell>
          <cell r="F34" t="str">
            <v xml:space="preserve">   </v>
          </cell>
          <cell r="G34">
            <v>10503</v>
          </cell>
          <cell r="H34">
            <v>0</v>
          </cell>
          <cell r="I34">
            <v>0</v>
          </cell>
          <cell r="J34">
            <v>0</v>
          </cell>
          <cell r="K34">
            <v>0</v>
          </cell>
          <cell r="L34">
            <v>0</v>
          </cell>
        </row>
        <row r="35">
          <cell r="A35">
            <v>2</v>
          </cell>
          <cell r="B35">
            <v>0</v>
          </cell>
          <cell r="C35">
            <v>503</v>
          </cell>
          <cell r="D35" t="str">
            <v xml:space="preserve">  </v>
          </cell>
          <cell r="E35" t="str">
            <v xml:space="preserve">    </v>
          </cell>
          <cell r="F35" t="str">
            <v xml:space="preserve">   </v>
          </cell>
          <cell r="G35">
            <v>20503</v>
          </cell>
          <cell r="H35">
            <v>-205.82</v>
          </cell>
          <cell r="I35">
            <v>-205.82</v>
          </cell>
          <cell r="J35">
            <v>0</v>
          </cell>
          <cell r="K35">
            <v>0</v>
          </cell>
          <cell r="L35">
            <v>0</v>
          </cell>
        </row>
        <row r="36">
          <cell r="A36">
            <v>1</v>
          </cell>
          <cell r="B36">
            <v>0</v>
          </cell>
          <cell r="C36">
            <v>505</v>
          </cell>
          <cell r="D36" t="str">
            <v xml:space="preserve">  </v>
          </cell>
          <cell r="E36" t="str">
            <v xml:space="preserve">    </v>
          </cell>
          <cell r="F36" t="str">
            <v xml:space="preserve">   </v>
          </cell>
          <cell r="G36">
            <v>10505</v>
          </cell>
          <cell r="H36">
            <v>110991.78</v>
          </cell>
          <cell r="I36">
            <v>110991.78</v>
          </cell>
          <cell r="J36">
            <v>0</v>
          </cell>
          <cell r="K36">
            <v>0</v>
          </cell>
          <cell r="L36">
            <v>0</v>
          </cell>
        </row>
        <row r="37">
          <cell r="A37">
            <v>2</v>
          </cell>
          <cell r="B37">
            <v>0</v>
          </cell>
          <cell r="C37">
            <v>505</v>
          </cell>
          <cell r="D37" t="str">
            <v xml:space="preserve">  </v>
          </cell>
          <cell r="E37" t="str">
            <v xml:space="preserve">    </v>
          </cell>
          <cell r="F37" t="str">
            <v xml:space="preserve">   </v>
          </cell>
          <cell r="G37">
            <v>20505</v>
          </cell>
          <cell r="H37">
            <v>1158945.78</v>
          </cell>
          <cell r="I37">
            <v>1158945.78</v>
          </cell>
          <cell r="J37">
            <v>0</v>
          </cell>
          <cell r="K37">
            <v>0</v>
          </cell>
          <cell r="L37">
            <v>0</v>
          </cell>
        </row>
        <row r="38">
          <cell r="A38">
            <v>1</v>
          </cell>
          <cell r="B38">
            <v>0</v>
          </cell>
          <cell r="C38">
            <v>506</v>
          </cell>
          <cell r="D38" t="str">
            <v xml:space="preserve">  </v>
          </cell>
          <cell r="E38" t="str">
            <v xml:space="preserve">    </v>
          </cell>
          <cell r="F38" t="str">
            <v xml:space="preserve">   </v>
          </cell>
          <cell r="G38">
            <v>10506</v>
          </cell>
          <cell r="H38">
            <v>222699.84</v>
          </cell>
          <cell r="I38">
            <v>222699.84</v>
          </cell>
          <cell r="J38">
            <v>0</v>
          </cell>
          <cell r="K38">
            <v>0</v>
          </cell>
          <cell r="L38">
            <v>0</v>
          </cell>
        </row>
        <row r="39">
          <cell r="A39">
            <v>2</v>
          </cell>
          <cell r="B39">
            <v>0</v>
          </cell>
          <cell r="C39">
            <v>506</v>
          </cell>
          <cell r="D39" t="str">
            <v xml:space="preserve">  </v>
          </cell>
          <cell r="E39" t="str">
            <v xml:space="preserve">    </v>
          </cell>
          <cell r="F39" t="str">
            <v xml:space="preserve">   </v>
          </cell>
          <cell r="G39">
            <v>20506</v>
          </cell>
          <cell r="H39">
            <v>2029663.84</v>
          </cell>
          <cell r="I39">
            <v>2029663.84</v>
          </cell>
          <cell r="J39">
            <v>0</v>
          </cell>
          <cell r="K39">
            <v>0</v>
          </cell>
          <cell r="L39">
            <v>0</v>
          </cell>
        </row>
        <row r="40">
          <cell r="A40">
            <v>1</v>
          </cell>
          <cell r="B40">
            <v>0</v>
          </cell>
          <cell r="C40">
            <v>507</v>
          </cell>
          <cell r="D40" t="str">
            <v xml:space="preserve">  </v>
          </cell>
          <cell r="E40" t="str">
            <v xml:space="preserve">    </v>
          </cell>
          <cell r="F40" t="str">
            <v xml:space="preserve">   </v>
          </cell>
          <cell r="G40">
            <v>10507</v>
          </cell>
          <cell r="H40">
            <v>0</v>
          </cell>
          <cell r="I40">
            <v>0</v>
          </cell>
          <cell r="J40">
            <v>0</v>
          </cell>
          <cell r="K40">
            <v>0</v>
          </cell>
          <cell r="L40">
            <v>0</v>
          </cell>
        </row>
        <row r="41">
          <cell r="A41">
            <v>2</v>
          </cell>
          <cell r="B41">
            <v>0</v>
          </cell>
          <cell r="C41">
            <v>507</v>
          </cell>
          <cell r="D41" t="str">
            <v xml:space="preserve">  </v>
          </cell>
          <cell r="E41" t="str">
            <v xml:space="preserve">    </v>
          </cell>
          <cell r="F41" t="str">
            <v xml:space="preserve">   </v>
          </cell>
          <cell r="G41">
            <v>20507</v>
          </cell>
          <cell r="H41">
            <v>0</v>
          </cell>
          <cell r="I41">
            <v>0</v>
          </cell>
          <cell r="J41">
            <v>0</v>
          </cell>
          <cell r="K41">
            <v>0</v>
          </cell>
          <cell r="L41">
            <v>0</v>
          </cell>
        </row>
        <row r="42">
          <cell r="A42">
            <v>1</v>
          </cell>
          <cell r="B42">
            <v>0</v>
          </cell>
          <cell r="C42">
            <v>510</v>
          </cell>
          <cell r="D42" t="str">
            <v xml:space="preserve">  </v>
          </cell>
          <cell r="E42" t="str">
            <v xml:space="preserve">    </v>
          </cell>
          <cell r="F42" t="str">
            <v xml:space="preserve">   </v>
          </cell>
          <cell r="G42">
            <v>10510</v>
          </cell>
          <cell r="H42">
            <v>79463.73</v>
          </cell>
          <cell r="I42">
            <v>79463.73</v>
          </cell>
          <cell r="J42">
            <v>0</v>
          </cell>
          <cell r="K42">
            <v>0</v>
          </cell>
          <cell r="L42">
            <v>0</v>
          </cell>
        </row>
        <row r="43">
          <cell r="A43">
            <v>2</v>
          </cell>
          <cell r="B43">
            <v>0</v>
          </cell>
          <cell r="C43">
            <v>510</v>
          </cell>
          <cell r="D43" t="str">
            <v xml:space="preserve">  </v>
          </cell>
          <cell r="E43" t="str">
            <v xml:space="preserve">    </v>
          </cell>
          <cell r="F43" t="str">
            <v xml:space="preserve">   </v>
          </cell>
          <cell r="G43">
            <v>20510</v>
          </cell>
          <cell r="H43">
            <v>656085.86</v>
          </cell>
          <cell r="I43">
            <v>656085.86</v>
          </cell>
          <cell r="J43">
            <v>0</v>
          </cell>
          <cell r="K43">
            <v>0</v>
          </cell>
          <cell r="L43">
            <v>0</v>
          </cell>
        </row>
        <row r="44">
          <cell r="A44">
            <v>1</v>
          </cell>
          <cell r="B44">
            <v>0</v>
          </cell>
          <cell r="C44">
            <v>511</v>
          </cell>
          <cell r="D44" t="str">
            <v xml:space="preserve">  </v>
          </cell>
          <cell r="E44" t="str">
            <v xml:space="preserve">    </v>
          </cell>
          <cell r="F44" t="str">
            <v xml:space="preserve">   </v>
          </cell>
          <cell r="G44">
            <v>10511</v>
          </cell>
          <cell r="H44">
            <v>54215.02</v>
          </cell>
          <cell r="I44">
            <v>54215.02</v>
          </cell>
          <cell r="J44">
            <v>0</v>
          </cell>
          <cell r="K44">
            <v>0</v>
          </cell>
          <cell r="L44">
            <v>0</v>
          </cell>
        </row>
        <row r="45">
          <cell r="A45">
            <v>2</v>
          </cell>
          <cell r="B45">
            <v>0</v>
          </cell>
          <cell r="C45">
            <v>511</v>
          </cell>
          <cell r="D45" t="str">
            <v xml:space="preserve">  </v>
          </cell>
          <cell r="E45" t="str">
            <v xml:space="preserve">    </v>
          </cell>
          <cell r="F45" t="str">
            <v xml:space="preserve">   </v>
          </cell>
          <cell r="G45">
            <v>20511</v>
          </cell>
          <cell r="H45">
            <v>504651.11</v>
          </cell>
          <cell r="I45">
            <v>504651.11</v>
          </cell>
          <cell r="J45">
            <v>0</v>
          </cell>
          <cell r="K45">
            <v>0</v>
          </cell>
          <cell r="L45">
            <v>0</v>
          </cell>
        </row>
        <row r="46">
          <cell r="A46">
            <v>1</v>
          </cell>
          <cell r="B46">
            <v>0</v>
          </cell>
          <cell r="C46">
            <v>512</v>
          </cell>
          <cell r="D46" t="str">
            <v xml:space="preserve">  </v>
          </cell>
          <cell r="E46" t="str">
            <v xml:space="preserve">    </v>
          </cell>
          <cell r="F46" t="str">
            <v xml:space="preserve">   </v>
          </cell>
          <cell r="G46">
            <v>10512</v>
          </cell>
          <cell r="H46">
            <v>480808.42</v>
          </cell>
          <cell r="I46">
            <v>480808.42</v>
          </cell>
          <cell r="J46">
            <v>0</v>
          </cell>
          <cell r="K46">
            <v>0</v>
          </cell>
          <cell r="L46">
            <v>0</v>
          </cell>
        </row>
        <row r="47">
          <cell r="A47">
            <v>2</v>
          </cell>
          <cell r="B47">
            <v>0</v>
          </cell>
          <cell r="C47">
            <v>512</v>
          </cell>
          <cell r="D47" t="str">
            <v xml:space="preserve">  </v>
          </cell>
          <cell r="E47" t="str">
            <v xml:space="preserve">    </v>
          </cell>
          <cell r="F47" t="str">
            <v xml:space="preserve">   </v>
          </cell>
          <cell r="G47">
            <v>20512</v>
          </cell>
          <cell r="H47">
            <v>3840190.12</v>
          </cell>
          <cell r="I47">
            <v>3840190.12</v>
          </cell>
          <cell r="J47">
            <v>0</v>
          </cell>
          <cell r="K47">
            <v>0</v>
          </cell>
          <cell r="L47">
            <v>0</v>
          </cell>
        </row>
        <row r="48">
          <cell r="A48">
            <v>1</v>
          </cell>
          <cell r="B48">
            <v>0</v>
          </cell>
          <cell r="C48">
            <v>513</v>
          </cell>
          <cell r="D48" t="str">
            <v xml:space="preserve">  </v>
          </cell>
          <cell r="E48" t="str">
            <v xml:space="preserve">    </v>
          </cell>
          <cell r="F48" t="str">
            <v xml:space="preserve">   </v>
          </cell>
          <cell r="G48">
            <v>10513</v>
          </cell>
          <cell r="H48">
            <v>47535.199999999997</v>
          </cell>
          <cell r="I48">
            <v>47535.199999999997</v>
          </cell>
          <cell r="J48">
            <v>0</v>
          </cell>
          <cell r="K48">
            <v>0</v>
          </cell>
          <cell r="L48">
            <v>0</v>
          </cell>
        </row>
        <row r="49">
          <cell r="A49">
            <v>2</v>
          </cell>
          <cell r="B49">
            <v>0</v>
          </cell>
          <cell r="C49">
            <v>513</v>
          </cell>
          <cell r="D49" t="str">
            <v xml:space="preserve">  </v>
          </cell>
          <cell r="E49" t="str">
            <v xml:space="preserve">    </v>
          </cell>
          <cell r="F49" t="str">
            <v xml:space="preserve">   </v>
          </cell>
          <cell r="G49">
            <v>20513</v>
          </cell>
          <cell r="H49">
            <v>674530.89</v>
          </cell>
          <cell r="I49">
            <v>674530.89</v>
          </cell>
          <cell r="J49">
            <v>0</v>
          </cell>
          <cell r="K49">
            <v>0</v>
          </cell>
          <cell r="L49">
            <v>0</v>
          </cell>
        </row>
        <row r="50">
          <cell r="A50">
            <v>1</v>
          </cell>
          <cell r="B50">
            <v>0</v>
          </cell>
          <cell r="C50">
            <v>514</v>
          </cell>
          <cell r="D50" t="str">
            <v xml:space="preserve">  </v>
          </cell>
          <cell r="E50" t="str">
            <v xml:space="preserve">    </v>
          </cell>
          <cell r="F50" t="str">
            <v xml:space="preserve">   </v>
          </cell>
          <cell r="G50">
            <v>10514</v>
          </cell>
          <cell r="H50">
            <v>62258.51</v>
          </cell>
          <cell r="I50">
            <v>62258.51</v>
          </cell>
          <cell r="J50">
            <v>0</v>
          </cell>
          <cell r="K50">
            <v>0</v>
          </cell>
          <cell r="L50">
            <v>0</v>
          </cell>
        </row>
        <row r="51">
          <cell r="A51">
            <v>2</v>
          </cell>
          <cell r="B51">
            <v>0</v>
          </cell>
          <cell r="C51">
            <v>514</v>
          </cell>
          <cell r="D51" t="str">
            <v xml:space="preserve">  </v>
          </cell>
          <cell r="E51" t="str">
            <v xml:space="preserve">    </v>
          </cell>
          <cell r="F51" t="str">
            <v xml:space="preserve">   </v>
          </cell>
          <cell r="G51">
            <v>20514</v>
          </cell>
          <cell r="H51">
            <v>592804.17000000004</v>
          </cell>
          <cell r="I51">
            <v>592804.17000000004</v>
          </cell>
          <cell r="J51">
            <v>0</v>
          </cell>
          <cell r="K51">
            <v>0</v>
          </cell>
          <cell r="L51">
            <v>0</v>
          </cell>
        </row>
        <row r="52">
          <cell r="A52">
            <v>1</v>
          </cell>
          <cell r="B52">
            <v>0</v>
          </cell>
          <cell r="C52">
            <v>535</v>
          </cell>
          <cell r="D52" t="str">
            <v xml:space="preserve">  </v>
          </cell>
          <cell r="E52" t="str">
            <v xml:space="preserve">    </v>
          </cell>
          <cell r="F52" t="str">
            <v xml:space="preserve">   </v>
          </cell>
          <cell r="G52">
            <v>10535</v>
          </cell>
          <cell r="H52">
            <v>73871.66</v>
          </cell>
          <cell r="I52">
            <v>73871.66</v>
          </cell>
          <cell r="J52">
            <v>0</v>
          </cell>
          <cell r="K52">
            <v>0</v>
          </cell>
          <cell r="L52">
            <v>0</v>
          </cell>
        </row>
        <row r="53">
          <cell r="A53">
            <v>2</v>
          </cell>
          <cell r="B53">
            <v>0</v>
          </cell>
          <cell r="C53">
            <v>535</v>
          </cell>
          <cell r="D53" t="str">
            <v xml:space="preserve">  </v>
          </cell>
          <cell r="E53" t="str">
            <v xml:space="preserve">    </v>
          </cell>
          <cell r="F53" t="str">
            <v xml:space="preserve">   </v>
          </cell>
          <cell r="G53">
            <v>20535</v>
          </cell>
          <cell r="H53">
            <v>1265384.21</v>
          </cell>
          <cell r="I53">
            <v>1265384.21</v>
          </cell>
          <cell r="J53">
            <v>0</v>
          </cell>
          <cell r="K53">
            <v>0</v>
          </cell>
          <cell r="L53">
            <v>0</v>
          </cell>
        </row>
        <row r="54">
          <cell r="A54">
            <v>1</v>
          </cell>
          <cell r="B54">
            <v>0</v>
          </cell>
          <cell r="C54">
            <v>536</v>
          </cell>
          <cell r="D54" t="str">
            <v xml:space="preserve">  </v>
          </cell>
          <cell r="E54" t="str">
            <v xml:space="preserve">    </v>
          </cell>
          <cell r="F54" t="str">
            <v xml:space="preserve">   </v>
          </cell>
          <cell r="G54">
            <v>10536</v>
          </cell>
          <cell r="H54">
            <v>53801.97</v>
          </cell>
          <cell r="I54">
            <v>53801.97</v>
          </cell>
          <cell r="J54">
            <v>0</v>
          </cell>
          <cell r="K54">
            <v>0</v>
          </cell>
          <cell r="L54">
            <v>0</v>
          </cell>
        </row>
        <row r="55">
          <cell r="A55">
            <v>2</v>
          </cell>
          <cell r="B55">
            <v>0</v>
          </cell>
          <cell r="C55">
            <v>536</v>
          </cell>
          <cell r="D55" t="str">
            <v xml:space="preserve">  </v>
          </cell>
          <cell r="E55" t="str">
            <v xml:space="preserve">    </v>
          </cell>
          <cell r="F55" t="str">
            <v xml:space="preserve">   </v>
          </cell>
          <cell r="G55">
            <v>20536</v>
          </cell>
          <cell r="H55">
            <v>653503.19999999995</v>
          </cell>
          <cell r="I55">
            <v>653503.19999999995</v>
          </cell>
          <cell r="J55">
            <v>0</v>
          </cell>
          <cell r="K55">
            <v>0</v>
          </cell>
          <cell r="L55">
            <v>0</v>
          </cell>
        </row>
        <row r="56">
          <cell r="A56">
            <v>1</v>
          </cell>
          <cell r="B56">
            <v>0</v>
          </cell>
          <cell r="C56">
            <v>537</v>
          </cell>
          <cell r="D56" t="str">
            <v xml:space="preserve">  </v>
          </cell>
          <cell r="E56" t="str">
            <v xml:space="preserve">    </v>
          </cell>
          <cell r="F56" t="str">
            <v xml:space="preserve">   </v>
          </cell>
          <cell r="G56">
            <v>10537</v>
          </cell>
          <cell r="H56">
            <v>26866.17</v>
          </cell>
          <cell r="I56">
            <v>26866.17</v>
          </cell>
          <cell r="J56">
            <v>0</v>
          </cell>
          <cell r="K56">
            <v>0</v>
          </cell>
          <cell r="L56">
            <v>0</v>
          </cell>
        </row>
        <row r="57">
          <cell r="A57">
            <v>2</v>
          </cell>
          <cell r="B57">
            <v>0</v>
          </cell>
          <cell r="C57">
            <v>537</v>
          </cell>
          <cell r="D57" t="str">
            <v xml:space="preserve">  </v>
          </cell>
          <cell r="E57" t="str">
            <v xml:space="preserve">    </v>
          </cell>
          <cell r="F57" t="str">
            <v xml:space="preserve">   </v>
          </cell>
          <cell r="G57">
            <v>20537</v>
          </cell>
          <cell r="H57">
            <v>288062.42</v>
          </cell>
          <cell r="I57">
            <v>288062.42</v>
          </cell>
          <cell r="J57">
            <v>0</v>
          </cell>
          <cell r="K57">
            <v>0</v>
          </cell>
          <cell r="L57">
            <v>0</v>
          </cell>
        </row>
        <row r="58">
          <cell r="A58">
            <v>1</v>
          </cell>
          <cell r="B58">
            <v>0</v>
          </cell>
          <cell r="C58">
            <v>538</v>
          </cell>
          <cell r="D58" t="str">
            <v xml:space="preserve">  </v>
          </cell>
          <cell r="E58" t="str">
            <v xml:space="preserve">    </v>
          </cell>
          <cell r="F58" t="str">
            <v xml:space="preserve">   </v>
          </cell>
          <cell r="G58">
            <v>10538</v>
          </cell>
          <cell r="H58">
            <v>186290.15</v>
          </cell>
          <cell r="I58">
            <v>186290.15</v>
          </cell>
          <cell r="J58">
            <v>0</v>
          </cell>
          <cell r="K58">
            <v>0</v>
          </cell>
          <cell r="L58">
            <v>0</v>
          </cell>
        </row>
        <row r="59">
          <cell r="A59">
            <v>2</v>
          </cell>
          <cell r="B59">
            <v>0</v>
          </cell>
          <cell r="C59">
            <v>538</v>
          </cell>
          <cell r="D59" t="str">
            <v xml:space="preserve">  </v>
          </cell>
          <cell r="E59" t="str">
            <v xml:space="preserve">    </v>
          </cell>
          <cell r="F59" t="str">
            <v xml:space="preserve">   </v>
          </cell>
          <cell r="G59">
            <v>20538</v>
          </cell>
          <cell r="H59">
            <v>2911145.71</v>
          </cell>
          <cell r="I59">
            <v>2911145.71</v>
          </cell>
          <cell r="J59">
            <v>0</v>
          </cell>
          <cell r="K59">
            <v>0</v>
          </cell>
          <cell r="L59">
            <v>0</v>
          </cell>
        </row>
        <row r="60">
          <cell r="A60">
            <v>1</v>
          </cell>
          <cell r="B60">
            <v>0</v>
          </cell>
          <cell r="C60">
            <v>539</v>
          </cell>
          <cell r="D60" t="str">
            <v xml:space="preserve">  </v>
          </cell>
          <cell r="E60" t="str">
            <v xml:space="preserve">    </v>
          </cell>
          <cell r="F60" t="str">
            <v xml:space="preserve">   </v>
          </cell>
          <cell r="G60">
            <v>10539</v>
          </cell>
          <cell r="H60">
            <v>159189.51</v>
          </cell>
          <cell r="I60">
            <v>159189.51</v>
          </cell>
          <cell r="J60">
            <v>0</v>
          </cell>
          <cell r="K60">
            <v>0</v>
          </cell>
          <cell r="L60">
            <v>0</v>
          </cell>
        </row>
        <row r="61">
          <cell r="A61">
            <v>2</v>
          </cell>
          <cell r="B61">
            <v>0</v>
          </cell>
          <cell r="C61">
            <v>539</v>
          </cell>
          <cell r="D61" t="str">
            <v xml:space="preserve">  </v>
          </cell>
          <cell r="E61" t="str">
            <v xml:space="preserve">    </v>
          </cell>
          <cell r="F61" t="str">
            <v xml:space="preserve">   </v>
          </cell>
          <cell r="G61">
            <v>20539</v>
          </cell>
          <cell r="H61">
            <v>573554.77</v>
          </cell>
          <cell r="I61">
            <v>573554.77</v>
          </cell>
          <cell r="J61">
            <v>0</v>
          </cell>
          <cell r="K61">
            <v>0</v>
          </cell>
          <cell r="L61">
            <v>0</v>
          </cell>
        </row>
        <row r="62">
          <cell r="A62">
            <v>1</v>
          </cell>
          <cell r="B62">
            <v>0</v>
          </cell>
          <cell r="C62">
            <v>540</v>
          </cell>
          <cell r="D62" t="str">
            <v xml:space="preserve">  </v>
          </cell>
          <cell r="E62" t="str">
            <v xml:space="preserve">    </v>
          </cell>
          <cell r="F62" t="str">
            <v xml:space="preserve">   </v>
          </cell>
          <cell r="G62">
            <v>10540</v>
          </cell>
          <cell r="H62">
            <v>0</v>
          </cell>
          <cell r="I62">
            <v>0</v>
          </cell>
          <cell r="J62">
            <v>0</v>
          </cell>
          <cell r="K62">
            <v>0</v>
          </cell>
          <cell r="L62">
            <v>0</v>
          </cell>
        </row>
        <row r="63">
          <cell r="A63">
            <v>2</v>
          </cell>
          <cell r="B63">
            <v>0</v>
          </cell>
          <cell r="C63">
            <v>540</v>
          </cell>
          <cell r="D63" t="str">
            <v xml:space="preserve">  </v>
          </cell>
          <cell r="E63" t="str">
            <v xml:space="preserve">    </v>
          </cell>
          <cell r="F63" t="str">
            <v xml:space="preserve">   </v>
          </cell>
          <cell r="G63">
            <v>20540</v>
          </cell>
          <cell r="H63">
            <v>528256.22</v>
          </cell>
          <cell r="I63">
            <v>528256.22</v>
          </cell>
          <cell r="J63">
            <v>0</v>
          </cell>
          <cell r="K63">
            <v>0</v>
          </cell>
          <cell r="L63">
            <v>0</v>
          </cell>
        </row>
        <row r="64">
          <cell r="A64">
            <v>1</v>
          </cell>
          <cell r="B64">
            <v>0</v>
          </cell>
          <cell r="C64">
            <v>541</v>
          </cell>
          <cell r="D64" t="str">
            <v xml:space="preserve">  </v>
          </cell>
          <cell r="E64" t="str">
            <v xml:space="preserve">    </v>
          </cell>
          <cell r="F64" t="str">
            <v xml:space="preserve">   </v>
          </cell>
          <cell r="G64">
            <v>10541</v>
          </cell>
          <cell r="H64">
            <v>10998.85</v>
          </cell>
          <cell r="I64">
            <v>10998.85</v>
          </cell>
          <cell r="J64">
            <v>0</v>
          </cell>
          <cell r="K64">
            <v>0</v>
          </cell>
          <cell r="L64">
            <v>0</v>
          </cell>
        </row>
        <row r="65">
          <cell r="A65">
            <v>2</v>
          </cell>
          <cell r="B65">
            <v>0</v>
          </cell>
          <cell r="C65">
            <v>541</v>
          </cell>
          <cell r="D65" t="str">
            <v xml:space="preserve">  </v>
          </cell>
          <cell r="E65" t="str">
            <v xml:space="preserve">    </v>
          </cell>
          <cell r="F65" t="str">
            <v xml:space="preserve">   </v>
          </cell>
          <cell r="G65">
            <v>20541</v>
          </cell>
          <cell r="H65">
            <v>332245.28000000003</v>
          </cell>
          <cell r="I65">
            <v>332245.28000000003</v>
          </cell>
          <cell r="J65">
            <v>0</v>
          </cell>
          <cell r="K65">
            <v>0</v>
          </cell>
          <cell r="L65">
            <v>0</v>
          </cell>
        </row>
        <row r="66">
          <cell r="A66">
            <v>1</v>
          </cell>
          <cell r="B66">
            <v>0</v>
          </cell>
          <cell r="C66">
            <v>542</v>
          </cell>
          <cell r="D66" t="str">
            <v xml:space="preserve">  </v>
          </cell>
          <cell r="E66" t="str">
            <v xml:space="preserve">    </v>
          </cell>
          <cell r="F66" t="str">
            <v xml:space="preserve">   </v>
          </cell>
          <cell r="G66">
            <v>10542</v>
          </cell>
          <cell r="H66">
            <v>49825.42</v>
          </cell>
          <cell r="I66">
            <v>49825.42</v>
          </cell>
          <cell r="J66">
            <v>0</v>
          </cell>
          <cell r="K66">
            <v>0</v>
          </cell>
          <cell r="L66">
            <v>0</v>
          </cell>
        </row>
        <row r="67">
          <cell r="A67">
            <v>2</v>
          </cell>
          <cell r="B67">
            <v>0</v>
          </cell>
          <cell r="C67">
            <v>542</v>
          </cell>
          <cell r="D67" t="str">
            <v xml:space="preserve">  </v>
          </cell>
          <cell r="E67" t="str">
            <v xml:space="preserve">    </v>
          </cell>
          <cell r="F67" t="str">
            <v xml:space="preserve">   </v>
          </cell>
          <cell r="G67">
            <v>20542</v>
          </cell>
          <cell r="H67">
            <v>494165.51</v>
          </cell>
          <cell r="I67">
            <v>494165.51</v>
          </cell>
          <cell r="J67">
            <v>0</v>
          </cell>
          <cell r="K67">
            <v>0</v>
          </cell>
          <cell r="L67">
            <v>0</v>
          </cell>
        </row>
        <row r="68">
          <cell r="A68">
            <v>1</v>
          </cell>
          <cell r="B68">
            <v>0</v>
          </cell>
          <cell r="C68">
            <v>543</v>
          </cell>
          <cell r="D68" t="str">
            <v xml:space="preserve">  </v>
          </cell>
          <cell r="E68" t="str">
            <v xml:space="preserve">    </v>
          </cell>
          <cell r="F68" t="str">
            <v xml:space="preserve">   </v>
          </cell>
          <cell r="G68">
            <v>10543</v>
          </cell>
          <cell r="H68">
            <v>51721.440000000002</v>
          </cell>
          <cell r="I68">
            <v>51721.440000000002</v>
          </cell>
          <cell r="J68">
            <v>0</v>
          </cell>
          <cell r="K68">
            <v>0</v>
          </cell>
          <cell r="L68">
            <v>0</v>
          </cell>
        </row>
        <row r="69">
          <cell r="A69">
            <v>2</v>
          </cell>
          <cell r="B69">
            <v>0</v>
          </cell>
          <cell r="C69">
            <v>543</v>
          </cell>
          <cell r="D69" t="str">
            <v xml:space="preserve">  </v>
          </cell>
          <cell r="E69" t="str">
            <v xml:space="preserve">    </v>
          </cell>
          <cell r="F69" t="str">
            <v xml:space="preserve">   </v>
          </cell>
          <cell r="G69">
            <v>20543</v>
          </cell>
          <cell r="H69">
            <v>1231669.26</v>
          </cell>
          <cell r="I69">
            <v>1231669.26</v>
          </cell>
          <cell r="J69">
            <v>0</v>
          </cell>
          <cell r="K69">
            <v>0</v>
          </cell>
          <cell r="L69">
            <v>0</v>
          </cell>
        </row>
        <row r="70">
          <cell r="A70">
            <v>1</v>
          </cell>
          <cell r="B70">
            <v>0</v>
          </cell>
          <cell r="C70">
            <v>544</v>
          </cell>
          <cell r="D70" t="str">
            <v xml:space="preserve">  </v>
          </cell>
          <cell r="E70" t="str">
            <v xml:space="preserve">    </v>
          </cell>
          <cell r="F70" t="str">
            <v xml:space="preserve">   </v>
          </cell>
          <cell r="G70">
            <v>10544</v>
          </cell>
          <cell r="H70">
            <v>48974.11</v>
          </cell>
          <cell r="I70">
            <v>48974.11</v>
          </cell>
          <cell r="J70">
            <v>0</v>
          </cell>
          <cell r="K70">
            <v>0</v>
          </cell>
          <cell r="L70">
            <v>0</v>
          </cell>
        </row>
        <row r="71">
          <cell r="A71">
            <v>2</v>
          </cell>
          <cell r="B71">
            <v>0</v>
          </cell>
          <cell r="C71">
            <v>544</v>
          </cell>
          <cell r="D71" t="str">
            <v xml:space="preserve">  </v>
          </cell>
          <cell r="E71" t="str">
            <v xml:space="preserve">    </v>
          </cell>
          <cell r="F71" t="str">
            <v xml:space="preserve">   </v>
          </cell>
          <cell r="G71">
            <v>20544</v>
          </cell>
          <cell r="H71">
            <v>1170819.6299999999</v>
          </cell>
          <cell r="I71">
            <v>1170819.6299999999</v>
          </cell>
          <cell r="J71">
            <v>0</v>
          </cell>
          <cell r="K71">
            <v>0</v>
          </cell>
          <cell r="L71">
            <v>0</v>
          </cell>
        </row>
        <row r="72">
          <cell r="A72">
            <v>1</v>
          </cell>
          <cell r="B72">
            <v>0</v>
          </cell>
          <cell r="C72">
            <v>545</v>
          </cell>
          <cell r="D72" t="str">
            <v xml:space="preserve">  </v>
          </cell>
          <cell r="E72" t="str">
            <v xml:space="preserve">    </v>
          </cell>
          <cell r="F72" t="str">
            <v xml:space="preserve">   </v>
          </cell>
          <cell r="G72">
            <v>10545</v>
          </cell>
          <cell r="H72">
            <v>56222.83</v>
          </cell>
          <cell r="I72">
            <v>56222.83</v>
          </cell>
          <cell r="J72">
            <v>0</v>
          </cell>
          <cell r="K72">
            <v>0</v>
          </cell>
          <cell r="L72">
            <v>0</v>
          </cell>
        </row>
        <row r="73">
          <cell r="A73">
            <v>2</v>
          </cell>
          <cell r="B73">
            <v>0</v>
          </cell>
          <cell r="C73">
            <v>545</v>
          </cell>
          <cell r="D73" t="str">
            <v xml:space="preserve">  </v>
          </cell>
          <cell r="E73" t="str">
            <v xml:space="preserve">    </v>
          </cell>
          <cell r="F73" t="str">
            <v xml:space="preserve">   </v>
          </cell>
          <cell r="G73">
            <v>20545</v>
          </cell>
          <cell r="H73">
            <v>102639.05</v>
          </cell>
          <cell r="I73">
            <v>102639.05</v>
          </cell>
          <cell r="J73">
            <v>0</v>
          </cell>
          <cell r="K73">
            <v>0</v>
          </cell>
          <cell r="L73">
            <v>0</v>
          </cell>
        </row>
        <row r="74">
          <cell r="A74">
            <v>1</v>
          </cell>
          <cell r="B74">
            <v>0</v>
          </cell>
          <cell r="C74">
            <v>547</v>
          </cell>
          <cell r="D74" t="str">
            <v xml:space="preserve">  </v>
          </cell>
          <cell r="E74" t="str">
            <v xml:space="preserve">    </v>
          </cell>
          <cell r="F74" t="str">
            <v xml:space="preserve">   </v>
          </cell>
          <cell r="G74">
            <v>10547</v>
          </cell>
          <cell r="H74">
            <v>778692.02</v>
          </cell>
          <cell r="I74">
            <v>778692.02</v>
          </cell>
          <cell r="J74">
            <v>0</v>
          </cell>
          <cell r="K74">
            <v>0</v>
          </cell>
          <cell r="L74">
            <v>0</v>
          </cell>
        </row>
        <row r="75">
          <cell r="A75">
            <v>2</v>
          </cell>
          <cell r="B75">
            <v>0</v>
          </cell>
          <cell r="C75">
            <v>547</v>
          </cell>
          <cell r="D75" t="str">
            <v xml:space="preserve">  </v>
          </cell>
          <cell r="E75" t="str">
            <v xml:space="preserve">    </v>
          </cell>
          <cell r="F75" t="str">
            <v xml:space="preserve">   </v>
          </cell>
          <cell r="G75">
            <v>20547</v>
          </cell>
          <cell r="H75">
            <v>7391346.2199999997</v>
          </cell>
          <cell r="I75">
            <v>7391346.2199999997</v>
          </cell>
          <cell r="J75">
            <v>0</v>
          </cell>
          <cell r="K75">
            <v>0</v>
          </cell>
          <cell r="L75">
            <v>0</v>
          </cell>
        </row>
        <row r="76">
          <cell r="A76">
            <v>1</v>
          </cell>
          <cell r="B76">
            <v>0</v>
          </cell>
          <cell r="C76">
            <v>548</v>
          </cell>
          <cell r="D76" t="str">
            <v xml:space="preserve">  </v>
          </cell>
          <cell r="E76" t="str">
            <v xml:space="preserve">    </v>
          </cell>
          <cell r="F76" t="str">
            <v xml:space="preserve">   </v>
          </cell>
          <cell r="G76">
            <v>10548</v>
          </cell>
          <cell r="H76">
            <v>18870.16</v>
          </cell>
          <cell r="I76">
            <v>18870.16</v>
          </cell>
          <cell r="J76">
            <v>0</v>
          </cell>
          <cell r="K76">
            <v>0</v>
          </cell>
          <cell r="L76">
            <v>0</v>
          </cell>
        </row>
        <row r="77">
          <cell r="A77">
            <v>2</v>
          </cell>
          <cell r="B77">
            <v>0</v>
          </cell>
          <cell r="C77">
            <v>548</v>
          </cell>
          <cell r="D77" t="str">
            <v xml:space="preserve">  </v>
          </cell>
          <cell r="E77" t="str">
            <v xml:space="preserve">    </v>
          </cell>
          <cell r="F77" t="str">
            <v xml:space="preserve">   </v>
          </cell>
          <cell r="G77">
            <v>20548</v>
          </cell>
          <cell r="H77">
            <v>223987.46</v>
          </cell>
          <cell r="I77">
            <v>223987.46</v>
          </cell>
          <cell r="J77">
            <v>0</v>
          </cell>
          <cell r="K77">
            <v>0</v>
          </cell>
          <cell r="L77">
            <v>0</v>
          </cell>
        </row>
        <row r="78">
          <cell r="A78">
            <v>1</v>
          </cell>
          <cell r="B78">
            <v>0</v>
          </cell>
          <cell r="C78">
            <v>549</v>
          </cell>
          <cell r="D78" t="str">
            <v xml:space="preserve">  </v>
          </cell>
          <cell r="E78" t="str">
            <v xml:space="preserve">    </v>
          </cell>
          <cell r="F78" t="str">
            <v xml:space="preserve">   </v>
          </cell>
          <cell r="G78">
            <v>10549</v>
          </cell>
          <cell r="H78">
            <v>38368.46</v>
          </cell>
          <cell r="I78">
            <v>38368.46</v>
          </cell>
          <cell r="J78">
            <v>0</v>
          </cell>
          <cell r="K78">
            <v>0</v>
          </cell>
          <cell r="L78">
            <v>0</v>
          </cell>
        </row>
        <row r="79">
          <cell r="A79">
            <v>2</v>
          </cell>
          <cell r="B79">
            <v>0</v>
          </cell>
          <cell r="C79">
            <v>549</v>
          </cell>
          <cell r="D79" t="str">
            <v xml:space="preserve">  </v>
          </cell>
          <cell r="E79" t="str">
            <v xml:space="preserve">    </v>
          </cell>
          <cell r="F79" t="str">
            <v xml:space="preserve">   </v>
          </cell>
          <cell r="G79">
            <v>20549</v>
          </cell>
          <cell r="H79">
            <v>258749.16</v>
          </cell>
          <cell r="I79">
            <v>258749.16</v>
          </cell>
          <cell r="J79">
            <v>0</v>
          </cell>
          <cell r="K79">
            <v>0</v>
          </cell>
          <cell r="L79">
            <v>0</v>
          </cell>
        </row>
        <row r="80">
          <cell r="A80">
            <v>1</v>
          </cell>
          <cell r="B80">
            <v>0</v>
          </cell>
          <cell r="C80">
            <v>550</v>
          </cell>
          <cell r="D80" t="str">
            <v xml:space="preserve">  </v>
          </cell>
          <cell r="E80" t="str">
            <v xml:space="preserve">    </v>
          </cell>
          <cell r="F80" t="str">
            <v xml:space="preserve">   </v>
          </cell>
          <cell r="G80">
            <v>10550</v>
          </cell>
          <cell r="H80">
            <v>486030.47</v>
          </cell>
          <cell r="I80">
            <v>486030.47</v>
          </cell>
          <cell r="J80">
            <v>0</v>
          </cell>
          <cell r="K80">
            <v>0</v>
          </cell>
          <cell r="L80">
            <v>0</v>
          </cell>
        </row>
        <row r="81">
          <cell r="A81">
            <v>2</v>
          </cell>
          <cell r="B81">
            <v>0</v>
          </cell>
          <cell r="C81">
            <v>550</v>
          </cell>
          <cell r="D81" t="str">
            <v xml:space="preserve">  </v>
          </cell>
          <cell r="E81" t="str">
            <v xml:space="preserve">    </v>
          </cell>
          <cell r="F81" t="str">
            <v xml:space="preserve">   </v>
          </cell>
          <cell r="G81">
            <v>20550</v>
          </cell>
          <cell r="H81">
            <v>5668613.6399999997</v>
          </cell>
          <cell r="I81">
            <v>5668613.6399999997</v>
          </cell>
          <cell r="J81">
            <v>0</v>
          </cell>
          <cell r="K81">
            <v>0</v>
          </cell>
          <cell r="L81">
            <v>0</v>
          </cell>
        </row>
        <row r="82">
          <cell r="A82">
            <v>1</v>
          </cell>
          <cell r="B82">
            <v>0</v>
          </cell>
          <cell r="C82">
            <v>551</v>
          </cell>
          <cell r="D82" t="str">
            <v xml:space="preserve">  </v>
          </cell>
          <cell r="E82" t="str">
            <v xml:space="preserve">    </v>
          </cell>
          <cell r="F82" t="str">
            <v xml:space="preserve">   </v>
          </cell>
          <cell r="G82">
            <v>10551</v>
          </cell>
          <cell r="H82">
            <v>4673.34</v>
          </cell>
          <cell r="I82">
            <v>4673.34</v>
          </cell>
          <cell r="J82">
            <v>0</v>
          </cell>
          <cell r="K82">
            <v>0</v>
          </cell>
          <cell r="L82">
            <v>0</v>
          </cell>
        </row>
        <row r="83">
          <cell r="A83">
            <v>2</v>
          </cell>
          <cell r="B83">
            <v>0</v>
          </cell>
          <cell r="C83">
            <v>551</v>
          </cell>
          <cell r="D83" t="str">
            <v xml:space="preserve">  </v>
          </cell>
          <cell r="E83" t="str">
            <v xml:space="preserve">    </v>
          </cell>
          <cell r="F83" t="str">
            <v xml:space="preserve">   </v>
          </cell>
          <cell r="G83">
            <v>20551</v>
          </cell>
          <cell r="H83">
            <v>69604.95</v>
          </cell>
          <cell r="I83">
            <v>69604.95</v>
          </cell>
          <cell r="J83">
            <v>0</v>
          </cell>
          <cell r="K83">
            <v>0</v>
          </cell>
          <cell r="L83">
            <v>0</v>
          </cell>
        </row>
        <row r="84">
          <cell r="A84">
            <v>1</v>
          </cell>
          <cell r="B84">
            <v>0</v>
          </cell>
          <cell r="C84">
            <v>552</v>
          </cell>
          <cell r="D84" t="str">
            <v xml:space="preserve">  </v>
          </cell>
          <cell r="E84" t="str">
            <v xml:space="preserve">    </v>
          </cell>
          <cell r="F84" t="str">
            <v xml:space="preserve">   </v>
          </cell>
          <cell r="G84">
            <v>10552</v>
          </cell>
          <cell r="H84">
            <v>75</v>
          </cell>
          <cell r="I84">
            <v>75</v>
          </cell>
          <cell r="J84">
            <v>0</v>
          </cell>
          <cell r="K84">
            <v>0</v>
          </cell>
          <cell r="L84">
            <v>0</v>
          </cell>
        </row>
        <row r="85">
          <cell r="A85">
            <v>2</v>
          </cell>
          <cell r="B85">
            <v>0</v>
          </cell>
          <cell r="C85">
            <v>552</v>
          </cell>
          <cell r="D85" t="str">
            <v xml:space="preserve">  </v>
          </cell>
          <cell r="E85" t="str">
            <v xml:space="preserve">    </v>
          </cell>
          <cell r="F85" t="str">
            <v xml:space="preserve">   </v>
          </cell>
          <cell r="G85">
            <v>20552</v>
          </cell>
          <cell r="H85">
            <v>1692.1</v>
          </cell>
          <cell r="I85">
            <v>1692.1</v>
          </cell>
          <cell r="J85">
            <v>0</v>
          </cell>
          <cell r="K85">
            <v>0</v>
          </cell>
          <cell r="L85">
            <v>0</v>
          </cell>
        </row>
        <row r="86">
          <cell r="A86">
            <v>1</v>
          </cell>
          <cell r="B86">
            <v>0</v>
          </cell>
          <cell r="C86">
            <v>553</v>
          </cell>
          <cell r="D86" t="str">
            <v xml:space="preserve">  </v>
          </cell>
          <cell r="E86" t="str">
            <v xml:space="preserve">    </v>
          </cell>
          <cell r="F86" t="str">
            <v xml:space="preserve">   </v>
          </cell>
          <cell r="G86">
            <v>10553</v>
          </cell>
          <cell r="H86">
            <v>45137.09</v>
          </cell>
          <cell r="I86">
            <v>45137.09</v>
          </cell>
          <cell r="J86">
            <v>0</v>
          </cell>
          <cell r="K86">
            <v>0</v>
          </cell>
          <cell r="L86">
            <v>0</v>
          </cell>
        </row>
        <row r="87">
          <cell r="A87">
            <v>2</v>
          </cell>
          <cell r="B87">
            <v>0</v>
          </cell>
          <cell r="C87">
            <v>553</v>
          </cell>
          <cell r="D87" t="str">
            <v xml:space="preserve">  </v>
          </cell>
          <cell r="E87" t="str">
            <v xml:space="preserve">    </v>
          </cell>
          <cell r="F87" t="str">
            <v xml:space="preserve">   </v>
          </cell>
          <cell r="G87">
            <v>20553</v>
          </cell>
          <cell r="H87">
            <v>583205.34</v>
          </cell>
          <cell r="I87">
            <v>583205.34</v>
          </cell>
          <cell r="J87">
            <v>0</v>
          </cell>
          <cell r="K87">
            <v>0</v>
          </cell>
          <cell r="L87">
            <v>0</v>
          </cell>
        </row>
        <row r="88">
          <cell r="A88">
            <v>1</v>
          </cell>
          <cell r="B88">
            <v>0</v>
          </cell>
          <cell r="C88">
            <v>554</v>
          </cell>
          <cell r="D88" t="str">
            <v xml:space="preserve">  </v>
          </cell>
          <cell r="E88" t="str">
            <v xml:space="preserve">    </v>
          </cell>
          <cell r="F88" t="str">
            <v xml:space="preserve">   </v>
          </cell>
          <cell r="G88">
            <v>10554</v>
          </cell>
          <cell r="H88">
            <v>5055.87</v>
          </cell>
          <cell r="I88">
            <v>5055.87</v>
          </cell>
          <cell r="J88">
            <v>0</v>
          </cell>
          <cell r="K88">
            <v>0</v>
          </cell>
          <cell r="L88">
            <v>0</v>
          </cell>
        </row>
        <row r="89">
          <cell r="A89">
            <v>2</v>
          </cell>
          <cell r="B89">
            <v>0</v>
          </cell>
          <cell r="C89">
            <v>554</v>
          </cell>
          <cell r="D89" t="str">
            <v xml:space="preserve">  </v>
          </cell>
          <cell r="E89" t="str">
            <v xml:space="preserve">    </v>
          </cell>
          <cell r="F89" t="str">
            <v xml:space="preserve">   </v>
          </cell>
          <cell r="G89">
            <v>20554</v>
          </cell>
          <cell r="H89">
            <v>21462.99</v>
          </cell>
          <cell r="I89">
            <v>21462.99</v>
          </cell>
          <cell r="J89">
            <v>0</v>
          </cell>
          <cell r="K89">
            <v>0</v>
          </cell>
          <cell r="L89">
            <v>0</v>
          </cell>
        </row>
        <row r="90">
          <cell r="A90">
            <v>1</v>
          </cell>
          <cell r="B90">
            <v>0</v>
          </cell>
          <cell r="C90">
            <v>555</v>
          </cell>
          <cell r="D90" t="str">
            <v xml:space="preserve">  </v>
          </cell>
          <cell r="E90" t="str">
            <v xml:space="preserve">    </v>
          </cell>
          <cell r="F90" t="str">
            <v xml:space="preserve">   </v>
          </cell>
          <cell r="G90">
            <v>10555</v>
          </cell>
          <cell r="H90">
            <v>51666888.43</v>
          </cell>
          <cell r="I90">
            <v>51666888.43</v>
          </cell>
          <cell r="J90">
            <v>0</v>
          </cell>
          <cell r="K90">
            <v>0</v>
          </cell>
          <cell r="L90">
            <v>0</v>
          </cell>
        </row>
        <row r="91">
          <cell r="A91">
            <v>2</v>
          </cell>
          <cell r="B91">
            <v>0</v>
          </cell>
          <cell r="C91">
            <v>555</v>
          </cell>
          <cell r="D91" t="str">
            <v xml:space="preserve">  </v>
          </cell>
          <cell r="E91" t="str">
            <v xml:space="preserve">    </v>
          </cell>
          <cell r="F91" t="str">
            <v xml:space="preserve">   </v>
          </cell>
          <cell r="G91">
            <v>20555</v>
          </cell>
          <cell r="H91">
            <v>470604443.04000002</v>
          </cell>
          <cell r="I91">
            <v>470563045.04000002</v>
          </cell>
          <cell r="J91">
            <v>41398</v>
          </cell>
          <cell r="K91">
            <v>0</v>
          </cell>
          <cell r="L91">
            <v>0</v>
          </cell>
        </row>
        <row r="92">
          <cell r="A92">
            <v>1</v>
          </cell>
          <cell r="B92">
            <v>0</v>
          </cell>
          <cell r="C92">
            <v>556</v>
          </cell>
          <cell r="D92" t="str">
            <v xml:space="preserve">  </v>
          </cell>
          <cell r="E92" t="str">
            <v xml:space="preserve">    </v>
          </cell>
          <cell r="F92" t="str">
            <v xml:space="preserve">   </v>
          </cell>
          <cell r="G92">
            <v>10556</v>
          </cell>
          <cell r="H92">
            <v>45505.77</v>
          </cell>
          <cell r="I92">
            <v>45505.77</v>
          </cell>
          <cell r="J92">
            <v>0</v>
          </cell>
          <cell r="K92">
            <v>0</v>
          </cell>
          <cell r="L92">
            <v>0</v>
          </cell>
        </row>
        <row r="93">
          <cell r="A93">
            <v>2</v>
          </cell>
          <cell r="B93">
            <v>0</v>
          </cell>
          <cell r="C93">
            <v>556</v>
          </cell>
          <cell r="D93" t="str">
            <v xml:space="preserve">  </v>
          </cell>
          <cell r="E93" t="str">
            <v xml:space="preserve">    </v>
          </cell>
          <cell r="F93" t="str">
            <v xml:space="preserve">   </v>
          </cell>
          <cell r="G93">
            <v>20556</v>
          </cell>
          <cell r="H93">
            <v>734961.84</v>
          </cell>
          <cell r="I93">
            <v>734961.84</v>
          </cell>
          <cell r="J93">
            <v>0</v>
          </cell>
          <cell r="K93">
            <v>0</v>
          </cell>
          <cell r="L93">
            <v>0</v>
          </cell>
        </row>
        <row r="94">
          <cell r="A94">
            <v>1</v>
          </cell>
          <cell r="B94">
            <v>0</v>
          </cell>
          <cell r="C94">
            <v>557</v>
          </cell>
          <cell r="D94" t="str">
            <v xml:space="preserve">  </v>
          </cell>
          <cell r="E94" t="str">
            <v xml:space="preserve">    </v>
          </cell>
          <cell r="F94" t="str">
            <v xml:space="preserve">   </v>
          </cell>
          <cell r="G94">
            <v>10557</v>
          </cell>
          <cell r="H94">
            <v>252611.34</v>
          </cell>
          <cell r="I94">
            <v>938509.34</v>
          </cell>
          <cell r="J94">
            <v>0</v>
          </cell>
          <cell r="K94">
            <v>-685898</v>
          </cell>
          <cell r="L94">
            <v>0</v>
          </cell>
        </row>
        <row r="95">
          <cell r="A95">
            <v>2</v>
          </cell>
          <cell r="B95">
            <v>0</v>
          </cell>
          <cell r="C95">
            <v>557</v>
          </cell>
          <cell r="D95" t="str">
            <v xml:space="preserve">  </v>
          </cell>
          <cell r="E95" t="str">
            <v xml:space="preserve">    </v>
          </cell>
          <cell r="F95" t="str">
            <v xml:space="preserve">   </v>
          </cell>
          <cell r="G95">
            <v>20557</v>
          </cell>
          <cell r="H95">
            <v>2121301.58</v>
          </cell>
          <cell r="I95">
            <v>4964358.58</v>
          </cell>
          <cell r="J95">
            <v>0</v>
          </cell>
          <cell r="K95">
            <v>-2843057</v>
          </cell>
          <cell r="L95">
            <v>0</v>
          </cell>
        </row>
        <row r="96">
          <cell r="A96">
            <v>1</v>
          </cell>
          <cell r="B96">
            <v>0</v>
          </cell>
          <cell r="C96">
            <v>560</v>
          </cell>
          <cell r="D96" t="str">
            <v xml:space="preserve">  </v>
          </cell>
          <cell r="E96" t="str">
            <v xml:space="preserve">    </v>
          </cell>
          <cell r="F96" t="str">
            <v xml:space="preserve">   </v>
          </cell>
          <cell r="G96">
            <v>10560</v>
          </cell>
          <cell r="H96">
            <v>74584.25</v>
          </cell>
          <cell r="I96">
            <v>74584.25</v>
          </cell>
          <cell r="J96">
            <v>0</v>
          </cell>
          <cell r="K96">
            <v>0</v>
          </cell>
          <cell r="L96">
            <v>0</v>
          </cell>
        </row>
        <row r="97">
          <cell r="A97">
            <v>2</v>
          </cell>
          <cell r="B97">
            <v>0</v>
          </cell>
          <cell r="C97">
            <v>560</v>
          </cell>
          <cell r="D97" t="str">
            <v xml:space="preserve">  </v>
          </cell>
          <cell r="E97" t="str">
            <v xml:space="preserve">    </v>
          </cell>
          <cell r="F97" t="str">
            <v xml:space="preserve">   </v>
          </cell>
          <cell r="G97">
            <v>20560</v>
          </cell>
          <cell r="H97">
            <v>1043995.54</v>
          </cell>
          <cell r="I97">
            <v>1043995.54</v>
          </cell>
          <cell r="J97">
            <v>0</v>
          </cell>
          <cell r="K97">
            <v>0</v>
          </cell>
          <cell r="L97">
            <v>0</v>
          </cell>
        </row>
        <row r="98">
          <cell r="A98">
            <v>1</v>
          </cell>
          <cell r="B98">
            <v>0</v>
          </cell>
          <cell r="C98">
            <v>561</v>
          </cell>
          <cell r="D98" t="str">
            <v xml:space="preserve">  </v>
          </cell>
          <cell r="E98" t="str">
            <v xml:space="preserve">    </v>
          </cell>
          <cell r="F98" t="str">
            <v xml:space="preserve">   </v>
          </cell>
          <cell r="G98">
            <v>10561</v>
          </cell>
          <cell r="H98">
            <v>72190.06</v>
          </cell>
          <cell r="I98">
            <v>72190.06</v>
          </cell>
          <cell r="J98">
            <v>0</v>
          </cell>
          <cell r="K98">
            <v>0</v>
          </cell>
          <cell r="L98">
            <v>0</v>
          </cell>
        </row>
        <row r="99">
          <cell r="A99">
            <v>2</v>
          </cell>
          <cell r="B99">
            <v>0</v>
          </cell>
          <cell r="C99">
            <v>561</v>
          </cell>
          <cell r="D99" t="str">
            <v xml:space="preserve">  </v>
          </cell>
          <cell r="E99" t="str">
            <v xml:space="preserve">    </v>
          </cell>
          <cell r="F99" t="str">
            <v xml:space="preserve">   </v>
          </cell>
          <cell r="G99">
            <v>20561</v>
          </cell>
          <cell r="H99">
            <v>853246.14</v>
          </cell>
          <cell r="I99">
            <v>853246.14</v>
          </cell>
          <cell r="J99">
            <v>0</v>
          </cell>
          <cell r="K99">
            <v>0</v>
          </cell>
          <cell r="L99">
            <v>0</v>
          </cell>
        </row>
        <row r="100">
          <cell r="A100">
            <v>1</v>
          </cell>
          <cell r="B100">
            <v>0</v>
          </cell>
          <cell r="C100">
            <v>562</v>
          </cell>
          <cell r="D100" t="str">
            <v xml:space="preserve">  </v>
          </cell>
          <cell r="E100" t="str">
            <v xml:space="preserve">    </v>
          </cell>
          <cell r="F100" t="str">
            <v xml:space="preserve">   </v>
          </cell>
          <cell r="G100">
            <v>10562</v>
          </cell>
          <cell r="H100">
            <v>25073.25</v>
          </cell>
          <cell r="I100">
            <v>25073.25</v>
          </cell>
          <cell r="J100">
            <v>0</v>
          </cell>
          <cell r="K100">
            <v>0</v>
          </cell>
          <cell r="L100">
            <v>0</v>
          </cell>
        </row>
        <row r="101">
          <cell r="A101">
            <v>2</v>
          </cell>
          <cell r="B101">
            <v>0</v>
          </cell>
          <cell r="C101">
            <v>562</v>
          </cell>
          <cell r="D101" t="str">
            <v xml:space="preserve">  </v>
          </cell>
          <cell r="E101" t="str">
            <v xml:space="preserve">    </v>
          </cell>
          <cell r="F101" t="str">
            <v xml:space="preserve">   </v>
          </cell>
          <cell r="G101">
            <v>20562</v>
          </cell>
          <cell r="H101">
            <v>290310.93</v>
          </cell>
          <cell r="I101">
            <v>290310.93</v>
          </cell>
          <cell r="J101">
            <v>0</v>
          </cell>
          <cell r="K101">
            <v>0</v>
          </cell>
          <cell r="L101">
            <v>0</v>
          </cell>
        </row>
        <row r="102">
          <cell r="A102">
            <v>1</v>
          </cell>
          <cell r="B102">
            <v>0</v>
          </cell>
          <cell r="C102">
            <v>563</v>
          </cell>
          <cell r="D102" t="str">
            <v xml:space="preserve">  </v>
          </cell>
          <cell r="E102" t="str">
            <v xml:space="preserve">    </v>
          </cell>
          <cell r="F102" t="str">
            <v xml:space="preserve">   </v>
          </cell>
          <cell r="G102">
            <v>10563</v>
          </cell>
          <cell r="H102">
            <v>19378.71</v>
          </cell>
          <cell r="I102">
            <v>19378.71</v>
          </cell>
          <cell r="J102">
            <v>0</v>
          </cell>
          <cell r="K102">
            <v>0</v>
          </cell>
          <cell r="L102">
            <v>0</v>
          </cell>
        </row>
        <row r="103">
          <cell r="A103">
            <v>2</v>
          </cell>
          <cell r="B103">
            <v>0</v>
          </cell>
          <cell r="C103">
            <v>563</v>
          </cell>
          <cell r="D103" t="str">
            <v xml:space="preserve">  </v>
          </cell>
          <cell r="E103" t="str">
            <v xml:space="preserve">    </v>
          </cell>
          <cell r="F103" t="str">
            <v xml:space="preserve">   </v>
          </cell>
          <cell r="G103">
            <v>20563</v>
          </cell>
          <cell r="H103">
            <v>154069.44</v>
          </cell>
          <cell r="I103">
            <v>154069.44</v>
          </cell>
          <cell r="J103">
            <v>0</v>
          </cell>
          <cell r="K103">
            <v>0</v>
          </cell>
          <cell r="L103">
            <v>0</v>
          </cell>
        </row>
        <row r="104">
          <cell r="A104">
            <v>1</v>
          </cell>
          <cell r="B104">
            <v>0</v>
          </cell>
          <cell r="C104">
            <v>564</v>
          </cell>
          <cell r="D104" t="str">
            <v xml:space="preserve">  </v>
          </cell>
          <cell r="E104" t="str">
            <v xml:space="preserve">    </v>
          </cell>
          <cell r="F104" t="str">
            <v xml:space="preserve">   </v>
          </cell>
          <cell r="G104">
            <v>10564</v>
          </cell>
          <cell r="H104">
            <v>0</v>
          </cell>
          <cell r="I104">
            <v>0</v>
          </cell>
          <cell r="J104">
            <v>0</v>
          </cell>
          <cell r="K104">
            <v>0</v>
          </cell>
          <cell r="L104">
            <v>0</v>
          </cell>
        </row>
        <row r="105">
          <cell r="A105">
            <v>2</v>
          </cell>
          <cell r="B105">
            <v>0</v>
          </cell>
          <cell r="C105">
            <v>564</v>
          </cell>
          <cell r="D105" t="str">
            <v xml:space="preserve">  </v>
          </cell>
          <cell r="E105" t="str">
            <v xml:space="preserve">    </v>
          </cell>
          <cell r="F105" t="str">
            <v xml:space="preserve">   </v>
          </cell>
          <cell r="G105">
            <v>20564</v>
          </cell>
          <cell r="H105">
            <v>4475.1099999999997</v>
          </cell>
          <cell r="I105">
            <v>4475.1099999999997</v>
          </cell>
          <cell r="J105">
            <v>0</v>
          </cell>
          <cell r="K105">
            <v>0</v>
          </cell>
          <cell r="L105">
            <v>0</v>
          </cell>
        </row>
        <row r="106">
          <cell r="A106">
            <v>1</v>
          </cell>
          <cell r="B106">
            <v>0</v>
          </cell>
          <cell r="C106">
            <v>565</v>
          </cell>
          <cell r="D106" t="str">
            <v xml:space="preserve">  </v>
          </cell>
          <cell r="E106" t="str">
            <v xml:space="preserve">    </v>
          </cell>
          <cell r="F106" t="str">
            <v xml:space="preserve">   </v>
          </cell>
          <cell r="G106">
            <v>10565</v>
          </cell>
          <cell r="H106">
            <v>1046387.11</v>
          </cell>
          <cell r="I106">
            <v>1046387.11</v>
          </cell>
          <cell r="J106">
            <v>0</v>
          </cell>
          <cell r="K106">
            <v>0</v>
          </cell>
          <cell r="L106">
            <v>0</v>
          </cell>
        </row>
        <row r="107">
          <cell r="A107">
            <v>2</v>
          </cell>
          <cell r="B107">
            <v>0</v>
          </cell>
          <cell r="C107">
            <v>565</v>
          </cell>
          <cell r="D107" t="str">
            <v xml:space="preserve">  </v>
          </cell>
          <cell r="E107" t="str">
            <v xml:space="preserve">    </v>
          </cell>
          <cell r="F107" t="str">
            <v xml:space="preserve">   </v>
          </cell>
          <cell r="G107">
            <v>20565</v>
          </cell>
          <cell r="H107">
            <v>13340001.050000001</v>
          </cell>
          <cell r="I107">
            <v>13340001.050000001</v>
          </cell>
          <cell r="J107">
            <v>0</v>
          </cell>
          <cell r="K107">
            <v>0</v>
          </cell>
          <cell r="L107">
            <v>0</v>
          </cell>
        </row>
        <row r="108">
          <cell r="A108">
            <v>1</v>
          </cell>
          <cell r="B108">
            <v>0</v>
          </cell>
          <cell r="C108">
            <v>566</v>
          </cell>
          <cell r="D108" t="str">
            <v xml:space="preserve">  </v>
          </cell>
          <cell r="E108" t="str">
            <v xml:space="preserve">    </v>
          </cell>
          <cell r="F108" t="str">
            <v xml:space="preserve">   </v>
          </cell>
          <cell r="G108">
            <v>10566</v>
          </cell>
          <cell r="H108">
            <v>64432.66</v>
          </cell>
          <cell r="I108">
            <v>64432.66</v>
          </cell>
          <cell r="J108">
            <v>0</v>
          </cell>
          <cell r="K108">
            <v>0</v>
          </cell>
          <cell r="L108">
            <v>0</v>
          </cell>
        </row>
        <row r="109">
          <cell r="A109">
            <v>2</v>
          </cell>
          <cell r="B109">
            <v>0</v>
          </cell>
          <cell r="C109">
            <v>566</v>
          </cell>
          <cell r="D109" t="str">
            <v xml:space="preserve">  </v>
          </cell>
          <cell r="E109" t="str">
            <v xml:space="preserve">    </v>
          </cell>
          <cell r="F109" t="str">
            <v xml:space="preserve">   </v>
          </cell>
          <cell r="G109">
            <v>20566</v>
          </cell>
          <cell r="H109">
            <v>248863</v>
          </cell>
          <cell r="I109">
            <v>248863</v>
          </cell>
          <cell r="J109">
            <v>0</v>
          </cell>
          <cell r="K109">
            <v>0</v>
          </cell>
          <cell r="L109">
            <v>0</v>
          </cell>
        </row>
        <row r="110">
          <cell r="A110">
            <v>1</v>
          </cell>
          <cell r="B110">
            <v>0</v>
          </cell>
          <cell r="C110">
            <v>567</v>
          </cell>
          <cell r="D110" t="str">
            <v xml:space="preserve">  </v>
          </cell>
          <cell r="E110" t="str">
            <v xml:space="preserve">    </v>
          </cell>
          <cell r="F110" t="str">
            <v xml:space="preserve">   </v>
          </cell>
          <cell r="G110">
            <v>10567</v>
          </cell>
          <cell r="H110">
            <v>8675.48</v>
          </cell>
          <cell r="I110">
            <v>8675.48</v>
          </cell>
          <cell r="J110">
            <v>0</v>
          </cell>
          <cell r="K110">
            <v>0</v>
          </cell>
          <cell r="L110">
            <v>0</v>
          </cell>
        </row>
        <row r="111">
          <cell r="A111">
            <v>2</v>
          </cell>
          <cell r="B111">
            <v>0</v>
          </cell>
          <cell r="C111">
            <v>567</v>
          </cell>
          <cell r="D111" t="str">
            <v xml:space="preserve">  </v>
          </cell>
          <cell r="E111" t="str">
            <v xml:space="preserve">    </v>
          </cell>
          <cell r="F111" t="str">
            <v xml:space="preserve">   </v>
          </cell>
          <cell r="G111">
            <v>20567</v>
          </cell>
          <cell r="H111">
            <v>102028.66</v>
          </cell>
          <cell r="I111">
            <v>102028.66</v>
          </cell>
          <cell r="J111">
            <v>0</v>
          </cell>
          <cell r="K111">
            <v>0</v>
          </cell>
          <cell r="L111">
            <v>0</v>
          </cell>
        </row>
        <row r="112">
          <cell r="A112">
            <v>1</v>
          </cell>
          <cell r="B112">
            <v>0</v>
          </cell>
          <cell r="C112">
            <v>568</v>
          </cell>
          <cell r="D112" t="str">
            <v xml:space="preserve">  </v>
          </cell>
          <cell r="E112" t="str">
            <v xml:space="preserve">    </v>
          </cell>
          <cell r="F112" t="str">
            <v xml:space="preserve">   </v>
          </cell>
          <cell r="G112">
            <v>10568</v>
          </cell>
          <cell r="H112">
            <v>16059.39</v>
          </cell>
          <cell r="I112">
            <v>16059.39</v>
          </cell>
          <cell r="J112">
            <v>0</v>
          </cell>
          <cell r="K112">
            <v>0</v>
          </cell>
          <cell r="L112">
            <v>0</v>
          </cell>
        </row>
        <row r="113">
          <cell r="A113">
            <v>2</v>
          </cell>
          <cell r="B113">
            <v>0</v>
          </cell>
          <cell r="C113">
            <v>568</v>
          </cell>
          <cell r="D113" t="str">
            <v xml:space="preserve">  </v>
          </cell>
          <cell r="E113" t="str">
            <v xml:space="preserve">    </v>
          </cell>
          <cell r="F113" t="str">
            <v xml:space="preserve">   </v>
          </cell>
          <cell r="G113">
            <v>20568</v>
          </cell>
          <cell r="H113">
            <v>131293.65</v>
          </cell>
          <cell r="I113">
            <v>131293.65</v>
          </cell>
          <cell r="J113">
            <v>0</v>
          </cell>
          <cell r="K113">
            <v>0</v>
          </cell>
          <cell r="L113">
            <v>0</v>
          </cell>
        </row>
        <row r="114">
          <cell r="A114">
            <v>1</v>
          </cell>
          <cell r="B114">
            <v>0</v>
          </cell>
          <cell r="C114">
            <v>569</v>
          </cell>
          <cell r="D114" t="str">
            <v xml:space="preserve">  </v>
          </cell>
          <cell r="E114" t="str">
            <v xml:space="preserve">    </v>
          </cell>
          <cell r="F114" t="str">
            <v xml:space="preserve">   </v>
          </cell>
          <cell r="G114">
            <v>10569</v>
          </cell>
          <cell r="H114">
            <v>19875.509999999998</v>
          </cell>
          <cell r="I114">
            <v>19875.509999999998</v>
          </cell>
          <cell r="J114">
            <v>0</v>
          </cell>
          <cell r="K114">
            <v>0</v>
          </cell>
          <cell r="L114">
            <v>0</v>
          </cell>
        </row>
        <row r="115">
          <cell r="A115">
            <v>2</v>
          </cell>
          <cell r="B115">
            <v>0</v>
          </cell>
          <cell r="C115">
            <v>569</v>
          </cell>
          <cell r="D115" t="str">
            <v xml:space="preserve">  </v>
          </cell>
          <cell r="E115" t="str">
            <v xml:space="preserve">    </v>
          </cell>
          <cell r="F115" t="str">
            <v xml:space="preserve">   </v>
          </cell>
          <cell r="G115">
            <v>20569</v>
          </cell>
          <cell r="H115">
            <v>27440.37</v>
          </cell>
          <cell r="I115">
            <v>27440.37</v>
          </cell>
          <cell r="J115">
            <v>0</v>
          </cell>
          <cell r="K115">
            <v>0</v>
          </cell>
          <cell r="L115">
            <v>0</v>
          </cell>
        </row>
        <row r="116">
          <cell r="A116">
            <v>1</v>
          </cell>
          <cell r="B116">
            <v>0</v>
          </cell>
          <cell r="C116">
            <v>570</v>
          </cell>
          <cell r="D116" t="str">
            <v xml:space="preserve">  </v>
          </cell>
          <cell r="E116" t="str">
            <v xml:space="preserve">    </v>
          </cell>
          <cell r="F116" t="str">
            <v xml:space="preserve">   </v>
          </cell>
          <cell r="G116">
            <v>10570</v>
          </cell>
          <cell r="H116">
            <v>253937.46</v>
          </cell>
          <cell r="I116">
            <v>253937.46</v>
          </cell>
          <cell r="J116">
            <v>0</v>
          </cell>
          <cell r="K116">
            <v>0</v>
          </cell>
          <cell r="L116">
            <v>0</v>
          </cell>
        </row>
        <row r="117">
          <cell r="A117">
            <v>2</v>
          </cell>
          <cell r="B117">
            <v>0</v>
          </cell>
          <cell r="C117">
            <v>570</v>
          </cell>
          <cell r="D117" t="str">
            <v xml:space="preserve">  </v>
          </cell>
          <cell r="E117" t="str">
            <v xml:space="preserve">    </v>
          </cell>
          <cell r="F117" t="str">
            <v xml:space="preserve">   </v>
          </cell>
          <cell r="G117">
            <v>20570</v>
          </cell>
          <cell r="H117">
            <v>830692.3</v>
          </cell>
          <cell r="I117">
            <v>830692.3</v>
          </cell>
          <cell r="J117">
            <v>0</v>
          </cell>
          <cell r="K117">
            <v>0</v>
          </cell>
          <cell r="L117">
            <v>0</v>
          </cell>
        </row>
        <row r="118">
          <cell r="A118">
            <v>1</v>
          </cell>
          <cell r="B118">
            <v>0</v>
          </cell>
          <cell r="C118">
            <v>571</v>
          </cell>
          <cell r="D118" t="str">
            <v xml:space="preserve">  </v>
          </cell>
          <cell r="E118" t="str">
            <v xml:space="preserve">    </v>
          </cell>
          <cell r="F118" t="str">
            <v xml:space="preserve">   </v>
          </cell>
          <cell r="G118">
            <v>10571</v>
          </cell>
          <cell r="H118">
            <v>305961.34000000003</v>
          </cell>
          <cell r="I118">
            <v>305961.34000000003</v>
          </cell>
          <cell r="J118">
            <v>0</v>
          </cell>
          <cell r="K118">
            <v>0</v>
          </cell>
          <cell r="L118">
            <v>0</v>
          </cell>
        </row>
        <row r="119">
          <cell r="A119">
            <v>2</v>
          </cell>
          <cell r="B119">
            <v>0</v>
          </cell>
          <cell r="C119">
            <v>571</v>
          </cell>
          <cell r="D119" t="str">
            <v xml:space="preserve">  </v>
          </cell>
          <cell r="E119" t="str">
            <v xml:space="preserve">    </v>
          </cell>
          <cell r="F119" t="str">
            <v xml:space="preserve">   </v>
          </cell>
          <cell r="G119">
            <v>20571</v>
          </cell>
          <cell r="H119">
            <v>1178179.22</v>
          </cell>
          <cell r="I119">
            <v>1178179.22</v>
          </cell>
          <cell r="J119">
            <v>0</v>
          </cell>
          <cell r="K119">
            <v>0</v>
          </cell>
          <cell r="L119">
            <v>0</v>
          </cell>
        </row>
        <row r="120">
          <cell r="A120">
            <v>1</v>
          </cell>
          <cell r="B120">
            <v>0</v>
          </cell>
          <cell r="C120">
            <v>572</v>
          </cell>
          <cell r="D120" t="str">
            <v xml:space="preserve">  </v>
          </cell>
          <cell r="E120" t="str">
            <v xml:space="preserve">    </v>
          </cell>
          <cell r="F120" t="str">
            <v xml:space="preserve">   </v>
          </cell>
          <cell r="G120">
            <v>10572</v>
          </cell>
          <cell r="H120">
            <v>462.48</v>
          </cell>
          <cell r="I120">
            <v>462.48</v>
          </cell>
          <cell r="J120">
            <v>0</v>
          </cell>
          <cell r="K120">
            <v>0</v>
          </cell>
          <cell r="L120">
            <v>0</v>
          </cell>
        </row>
        <row r="121">
          <cell r="A121">
            <v>2</v>
          </cell>
          <cell r="B121">
            <v>0</v>
          </cell>
          <cell r="C121">
            <v>572</v>
          </cell>
          <cell r="D121" t="str">
            <v xml:space="preserve">  </v>
          </cell>
          <cell r="E121" t="str">
            <v xml:space="preserve">    </v>
          </cell>
          <cell r="F121" t="str">
            <v xml:space="preserve">   </v>
          </cell>
          <cell r="G121">
            <v>20572</v>
          </cell>
          <cell r="H121">
            <v>4543.05</v>
          </cell>
          <cell r="I121">
            <v>4543.05</v>
          </cell>
          <cell r="J121">
            <v>0</v>
          </cell>
          <cell r="K121">
            <v>0</v>
          </cell>
          <cell r="L121">
            <v>0</v>
          </cell>
        </row>
        <row r="122">
          <cell r="A122">
            <v>1</v>
          </cell>
          <cell r="B122">
            <v>0</v>
          </cell>
          <cell r="C122">
            <v>573</v>
          </cell>
          <cell r="D122" t="str">
            <v xml:space="preserve">  </v>
          </cell>
          <cell r="E122" t="str">
            <v xml:space="preserve">    </v>
          </cell>
          <cell r="F122" t="str">
            <v xml:space="preserve">   </v>
          </cell>
          <cell r="G122">
            <v>10573</v>
          </cell>
          <cell r="H122">
            <v>1115.5</v>
          </cell>
          <cell r="I122">
            <v>1115.5</v>
          </cell>
          <cell r="J122">
            <v>0</v>
          </cell>
          <cell r="K122">
            <v>0</v>
          </cell>
          <cell r="L122">
            <v>0</v>
          </cell>
        </row>
        <row r="123">
          <cell r="A123">
            <v>2</v>
          </cell>
          <cell r="B123">
            <v>0</v>
          </cell>
          <cell r="C123">
            <v>573</v>
          </cell>
          <cell r="D123" t="str">
            <v xml:space="preserve">  </v>
          </cell>
          <cell r="E123" t="str">
            <v xml:space="preserve">    </v>
          </cell>
          <cell r="F123" t="str">
            <v xml:space="preserve">   </v>
          </cell>
          <cell r="G123">
            <v>20573</v>
          </cell>
          <cell r="H123">
            <v>12056.28</v>
          </cell>
          <cell r="I123">
            <v>12056.28</v>
          </cell>
          <cell r="J123">
            <v>0</v>
          </cell>
          <cell r="K123">
            <v>0</v>
          </cell>
          <cell r="L123">
            <v>0</v>
          </cell>
        </row>
        <row r="124">
          <cell r="A124">
            <v>1</v>
          </cell>
          <cell r="B124">
            <v>0</v>
          </cell>
          <cell r="C124">
            <v>580</v>
          </cell>
          <cell r="D124" t="str">
            <v xml:space="preserve">  </v>
          </cell>
          <cell r="E124" t="str">
            <v xml:space="preserve">    </v>
          </cell>
          <cell r="F124" t="str">
            <v xml:space="preserve">   </v>
          </cell>
          <cell r="G124">
            <v>10580</v>
          </cell>
          <cell r="H124">
            <v>25379.08</v>
          </cell>
          <cell r="I124">
            <v>19380.07</v>
          </cell>
          <cell r="J124">
            <v>5018.9399999999996</v>
          </cell>
          <cell r="K124">
            <v>980.07</v>
          </cell>
          <cell r="L124">
            <v>0</v>
          </cell>
        </row>
        <row r="125">
          <cell r="A125">
            <v>2</v>
          </cell>
          <cell r="B125">
            <v>0</v>
          </cell>
          <cell r="C125">
            <v>580</v>
          </cell>
          <cell r="D125" t="str">
            <v xml:space="preserve">  </v>
          </cell>
          <cell r="E125" t="str">
            <v xml:space="preserve">    </v>
          </cell>
          <cell r="F125" t="str">
            <v xml:space="preserve">   </v>
          </cell>
          <cell r="G125">
            <v>20580</v>
          </cell>
          <cell r="H125">
            <v>282055.08</v>
          </cell>
          <cell r="I125">
            <v>133978.42000000001</v>
          </cell>
          <cell r="J125">
            <v>135513.91</v>
          </cell>
          <cell r="K125">
            <v>12562.75</v>
          </cell>
          <cell r="L125">
            <v>0</v>
          </cell>
        </row>
        <row r="126">
          <cell r="A126">
            <v>1</v>
          </cell>
          <cell r="B126">
            <v>0</v>
          </cell>
          <cell r="C126">
            <v>581</v>
          </cell>
          <cell r="D126" t="str">
            <v xml:space="preserve">  </v>
          </cell>
          <cell r="E126" t="str">
            <v xml:space="preserve">    </v>
          </cell>
          <cell r="F126" t="str">
            <v xml:space="preserve">   </v>
          </cell>
          <cell r="G126">
            <v>10581</v>
          </cell>
          <cell r="H126">
            <v>4438.7700000000004</v>
          </cell>
          <cell r="I126">
            <v>425.09</v>
          </cell>
          <cell r="J126">
            <v>2859.41</v>
          </cell>
          <cell r="K126">
            <v>1154.27</v>
          </cell>
          <cell r="L126">
            <v>0</v>
          </cell>
        </row>
        <row r="127">
          <cell r="A127">
            <v>2</v>
          </cell>
          <cell r="B127">
            <v>0</v>
          </cell>
          <cell r="C127">
            <v>581</v>
          </cell>
          <cell r="D127" t="str">
            <v xml:space="preserve">  </v>
          </cell>
          <cell r="E127" t="str">
            <v xml:space="preserve">    </v>
          </cell>
          <cell r="F127" t="str">
            <v xml:space="preserve">   </v>
          </cell>
          <cell r="G127">
            <v>20581</v>
          </cell>
          <cell r="H127">
            <v>58550.32</v>
          </cell>
          <cell r="I127">
            <v>10402.02</v>
          </cell>
          <cell r="J127">
            <v>33863.74</v>
          </cell>
          <cell r="K127">
            <v>14284.56</v>
          </cell>
          <cell r="L127">
            <v>0</v>
          </cell>
        </row>
        <row r="128">
          <cell r="A128">
            <v>1</v>
          </cell>
          <cell r="B128">
            <v>0</v>
          </cell>
          <cell r="C128">
            <v>582</v>
          </cell>
          <cell r="D128" t="str">
            <v xml:space="preserve">  </v>
          </cell>
          <cell r="E128" t="str">
            <v xml:space="preserve">    </v>
          </cell>
          <cell r="F128" t="str">
            <v xml:space="preserve">   </v>
          </cell>
          <cell r="G128">
            <v>10582</v>
          </cell>
          <cell r="H128">
            <v>32462.400000000001</v>
          </cell>
          <cell r="I128">
            <v>191.25</v>
          </cell>
          <cell r="J128">
            <v>24395.17</v>
          </cell>
          <cell r="K128">
            <v>7875.98</v>
          </cell>
          <cell r="L128">
            <v>0</v>
          </cell>
        </row>
        <row r="129">
          <cell r="A129">
            <v>2</v>
          </cell>
          <cell r="B129">
            <v>0</v>
          </cell>
          <cell r="C129">
            <v>582</v>
          </cell>
          <cell r="D129" t="str">
            <v xml:space="preserve">  </v>
          </cell>
          <cell r="E129" t="str">
            <v xml:space="preserve">    </v>
          </cell>
          <cell r="F129" t="str">
            <v xml:space="preserve">   </v>
          </cell>
          <cell r="G129">
            <v>20582</v>
          </cell>
          <cell r="H129">
            <v>453936.05</v>
          </cell>
          <cell r="I129">
            <v>11580.71</v>
          </cell>
          <cell r="J129">
            <v>297464.33</v>
          </cell>
          <cell r="K129">
            <v>144891.01</v>
          </cell>
          <cell r="L129">
            <v>0</v>
          </cell>
        </row>
        <row r="130">
          <cell r="A130">
            <v>1</v>
          </cell>
          <cell r="B130">
            <v>0</v>
          </cell>
          <cell r="C130">
            <v>583</v>
          </cell>
          <cell r="D130" t="str">
            <v xml:space="preserve">  </v>
          </cell>
          <cell r="E130" t="str">
            <v xml:space="preserve">    </v>
          </cell>
          <cell r="F130" t="str">
            <v xml:space="preserve">   </v>
          </cell>
          <cell r="G130">
            <v>10583</v>
          </cell>
          <cell r="H130">
            <v>83364.2</v>
          </cell>
          <cell r="I130">
            <v>0</v>
          </cell>
          <cell r="J130">
            <v>64677.279999999999</v>
          </cell>
          <cell r="K130">
            <v>18686.919999999998</v>
          </cell>
          <cell r="L130">
            <v>0</v>
          </cell>
        </row>
        <row r="131">
          <cell r="A131">
            <v>2</v>
          </cell>
          <cell r="B131">
            <v>0</v>
          </cell>
          <cell r="C131">
            <v>583</v>
          </cell>
          <cell r="D131" t="str">
            <v xml:space="preserve">  </v>
          </cell>
          <cell r="E131" t="str">
            <v xml:space="preserve">    </v>
          </cell>
          <cell r="F131" t="str">
            <v xml:space="preserve">   </v>
          </cell>
          <cell r="G131">
            <v>20583</v>
          </cell>
          <cell r="H131">
            <v>989091.45</v>
          </cell>
          <cell r="I131">
            <v>-18.87</v>
          </cell>
          <cell r="J131">
            <v>763964.18</v>
          </cell>
          <cell r="K131">
            <v>225146.14</v>
          </cell>
          <cell r="L131">
            <v>0</v>
          </cell>
        </row>
        <row r="132">
          <cell r="A132">
            <v>1</v>
          </cell>
          <cell r="B132">
            <v>0</v>
          </cell>
          <cell r="C132">
            <v>584</v>
          </cell>
          <cell r="D132" t="str">
            <v xml:space="preserve">  </v>
          </cell>
          <cell r="E132" t="str">
            <v xml:space="preserve">    </v>
          </cell>
          <cell r="F132" t="str">
            <v xml:space="preserve">   </v>
          </cell>
          <cell r="G132">
            <v>10584</v>
          </cell>
          <cell r="H132">
            <v>109381.69</v>
          </cell>
          <cell r="I132">
            <v>787.92</v>
          </cell>
          <cell r="J132">
            <v>67007.75</v>
          </cell>
          <cell r="K132">
            <v>41586.019999999997</v>
          </cell>
          <cell r="L132">
            <v>0</v>
          </cell>
        </row>
        <row r="133">
          <cell r="A133">
            <v>2</v>
          </cell>
          <cell r="B133">
            <v>0</v>
          </cell>
          <cell r="C133">
            <v>584</v>
          </cell>
          <cell r="D133" t="str">
            <v xml:space="preserve">  </v>
          </cell>
          <cell r="E133" t="str">
            <v xml:space="preserve">    </v>
          </cell>
          <cell r="F133" t="str">
            <v xml:space="preserve">   </v>
          </cell>
          <cell r="G133">
            <v>20584</v>
          </cell>
          <cell r="H133">
            <v>1471231.11</v>
          </cell>
          <cell r="I133">
            <v>7767.2</v>
          </cell>
          <cell r="J133">
            <v>889206.87</v>
          </cell>
          <cell r="K133">
            <v>574257.04</v>
          </cell>
          <cell r="L133">
            <v>0</v>
          </cell>
        </row>
        <row r="134">
          <cell r="A134">
            <v>1</v>
          </cell>
          <cell r="B134">
            <v>0</v>
          </cell>
          <cell r="C134">
            <v>585</v>
          </cell>
          <cell r="D134" t="str">
            <v xml:space="preserve">  </v>
          </cell>
          <cell r="E134" t="str">
            <v xml:space="preserve">    </v>
          </cell>
          <cell r="F134" t="str">
            <v xml:space="preserve">   </v>
          </cell>
          <cell r="G134">
            <v>10585</v>
          </cell>
          <cell r="H134">
            <v>27690.67</v>
          </cell>
          <cell r="I134">
            <v>0</v>
          </cell>
          <cell r="J134">
            <v>19118.79</v>
          </cell>
          <cell r="K134">
            <v>8571.8799999999992</v>
          </cell>
          <cell r="L134">
            <v>0</v>
          </cell>
        </row>
        <row r="135">
          <cell r="A135">
            <v>2</v>
          </cell>
          <cell r="B135">
            <v>0</v>
          </cell>
          <cell r="C135">
            <v>585</v>
          </cell>
          <cell r="D135" t="str">
            <v xml:space="preserve">  </v>
          </cell>
          <cell r="E135" t="str">
            <v xml:space="preserve">    </v>
          </cell>
          <cell r="F135" t="str">
            <v xml:space="preserve">   </v>
          </cell>
          <cell r="G135">
            <v>20585</v>
          </cell>
          <cell r="H135">
            <v>240661.99</v>
          </cell>
          <cell r="I135">
            <v>109.87</v>
          </cell>
          <cell r="J135">
            <v>178211.7</v>
          </cell>
          <cell r="K135">
            <v>62340.42</v>
          </cell>
          <cell r="L135">
            <v>0</v>
          </cell>
        </row>
        <row r="136">
          <cell r="A136">
            <v>1</v>
          </cell>
          <cell r="B136">
            <v>0</v>
          </cell>
          <cell r="C136">
            <v>586</v>
          </cell>
          <cell r="D136" t="str">
            <v xml:space="preserve">  </v>
          </cell>
          <cell r="E136" t="str">
            <v xml:space="preserve">    </v>
          </cell>
          <cell r="F136" t="str">
            <v xml:space="preserve">   </v>
          </cell>
          <cell r="G136">
            <v>10586</v>
          </cell>
          <cell r="H136">
            <v>68641.53</v>
          </cell>
          <cell r="I136">
            <v>55557.599999999999</v>
          </cell>
          <cell r="J136">
            <v>-5661.62</v>
          </cell>
          <cell r="K136">
            <v>18745.55</v>
          </cell>
          <cell r="L136">
            <v>0</v>
          </cell>
        </row>
        <row r="137">
          <cell r="A137">
            <v>2</v>
          </cell>
          <cell r="B137">
            <v>0</v>
          </cell>
          <cell r="C137">
            <v>586</v>
          </cell>
          <cell r="D137" t="str">
            <v xml:space="preserve">  </v>
          </cell>
          <cell r="E137" t="str">
            <v xml:space="preserve">    </v>
          </cell>
          <cell r="F137" t="str">
            <v xml:space="preserve">   </v>
          </cell>
          <cell r="G137">
            <v>20586</v>
          </cell>
          <cell r="H137">
            <v>634007.52</v>
          </cell>
          <cell r="I137">
            <v>210577.91</v>
          </cell>
          <cell r="J137">
            <v>321558.71000000002</v>
          </cell>
          <cell r="K137">
            <v>101870.9</v>
          </cell>
          <cell r="L137">
            <v>0</v>
          </cell>
        </row>
        <row r="138">
          <cell r="A138">
            <v>1</v>
          </cell>
          <cell r="B138">
            <v>0</v>
          </cell>
          <cell r="C138">
            <v>587</v>
          </cell>
          <cell r="D138" t="str">
            <v xml:space="preserve">  </v>
          </cell>
          <cell r="E138" t="str">
            <v xml:space="preserve">    </v>
          </cell>
          <cell r="F138" t="str">
            <v xml:space="preserve">   </v>
          </cell>
          <cell r="G138">
            <v>10587</v>
          </cell>
          <cell r="H138">
            <v>52126.879999999997</v>
          </cell>
          <cell r="I138">
            <v>37035.019999999997</v>
          </cell>
          <cell r="J138">
            <v>5466.45</v>
          </cell>
          <cell r="K138">
            <v>9625.41</v>
          </cell>
          <cell r="L138">
            <v>0</v>
          </cell>
        </row>
        <row r="139">
          <cell r="A139">
            <v>2</v>
          </cell>
          <cell r="B139">
            <v>0</v>
          </cell>
          <cell r="C139">
            <v>587</v>
          </cell>
          <cell r="D139" t="str">
            <v xml:space="preserve">  </v>
          </cell>
          <cell r="E139" t="str">
            <v xml:space="preserve">    </v>
          </cell>
          <cell r="F139" t="str">
            <v xml:space="preserve">   </v>
          </cell>
          <cell r="G139">
            <v>20587</v>
          </cell>
          <cell r="H139">
            <v>574147.47</v>
          </cell>
          <cell r="I139">
            <v>328800.15000000002</v>
          </cell>
          <cell r="J139">
            <v>113071.17</v>
          </cell>
          <cell r="K139">
            <v>132276.15</v>
          </cell>
          <cell r="L139">
            <v>0</v>
          </cell>
        </row>
        <row r="140">
          <cell r="A140">
            <v>1</v>
          </cell>
          <cell r="B140">
            <v>0</v>
          </cell>
          <cell r="C140">
            <v>588</v>
          </cell>
          <cell r="D140" t="str">
            <v xml:space="preserve">  </v>
          </cell>
          <cell r="E140" t="str">
            <v xml:space="preserve">    </v>
          </cell>
          <cell r="F140" t="str">
            <v xml:space="preserve">   </v>
          </cell>
          <cell r="G140">
            <v>10588</v>
          </cell>
          <cell r="H140">
            <v>233439.98</v>
          </cell>
          <cell r="I140">
            <v>176298.28</v>
          </cell>
          <cell r="J140">
            <v>41902.46</v>
          </cell>
          <cell r="K140">
            <v>15239.24</v>
          </cell>
          <cell r="L140">
            <v>0</v>
          </cell>
        </row>
        <row r="141">
          <cell r="A141">
            <v>2</v>
          </cell>
          <cell r="B141">
            <v>0</v>
          </cell>
          <cell r="C141">
            <v>588</v>
          </cell>
          <cell r="D141" t="str">
            <v xml:space="preserve">  </v>
          </cell>
          <cell r="E141" t="str">
            <v xml:space="preserve">    </v>
          </cell>
          <cell r="F141" t="str">
            <v xml:space="preserve">   </v>
          </cell>
          <cell r="G141">
            <v>20588</v>
          </cell>
          <cell r="H141">
            <v>1003009.1</v>
          </cell>
          <cell r="I141">
            <v>463048.4</v>
          </cell>
          <cell r="J141">
            <v>408314.95</v>
          </cell>
          <cell r="K141">
            <v>131645.75</v>
          </cell>
          <cell r="L141">
            <v>0</v>
          </cell>
        </row>
        <row r="142">
          <cell r="A142">
            <v>1</v>
          </cell>
          <cell r="B142">
            <v>0</v>
          </cell>
          <cell r="C142">
            <v>589</v>
          </cell>
          <cell r="D142" t="str">
            <v xml:space="preserve">  </v>
          </cell>
          <cell r="E142" t="str">
            <v xml:space="preserve">    </v>
          </cell>
          <cell r="F142" t="str">
            <v xml:space="preserve">   </v>
          </cell>
          <cell r="G142">
            <v>10589</v>
          </cell>
          <cell r="H142">
            <v>14160.02</v>
          </cell>
          <cell r="I142">
            <v>200</v>
          </cell>
          <cell r="J142">
            <v>1813.16</v>
          </cell>
          <cell r="K142">
            <v>12146.86</v>
          </cell>
          <cell r="L142">
            <v>0</v>
          </cell>
        </row>
        <row r="143">
          <cell r="A143">
            <v>2</v>
          </cell>
          <cell r="B143">
            <v>0</v>
          </cell>
          <cell r="C143">
            <v>589</v>
          </cell>
          <cell r="D143" t="str">
            <v xml:space="preserve">  </v>
          </cell>
          <cell r="E143" t="str">
            <v xml:space="preserve">    </v>
          </cell>
          <cell r="F143" t="str">
            <v xml:space="preserve">   </v>
          </cell>
          <cell r="G143">
            <v>20589</v>
          </cell>
          <cell r="H143">
            <v>207840.36</v>
          </cell>
          <cell r="I143">
            <v>179713.24</v>
          </cell>
          <cell r="J143">
            <v>9818.75</v>
          </cell>
          <cell r="K143">
            <v>18308.37</v>
          </cell>
          <cell r="L143">
            <v>0</v>
          </cell>
        </row>
        <row r="144">
          <cell r="A144">
            <v>1</v>
          </cell>
          <cell r="B144">
            <v>0</v>
          </cell>
          <cell r="C144">
            <v>590</v>
          </cell>
          <cell r="D144" t="str">
            <v xml:space="preserve">  </v>
          </cell>
          <cell r="E144" t="str">
            <v xml:space="preserve">    </v>
          </cell>
          <cell r="F144" t="str">
            <v xml:space="preserve">   </v>
          </cell>
          <cell r="G144">
            <v>10590</v>
          </cell>
          <cell r="H144">
            <v>102710.24</v>
          </cell>
          <cell r="I144">
            <v>65427.82</v>
          </cell>
          <cell r="J144">
            <v>28171</v>
          </cell>
          <cell r="K144">
            <v>9111.42</v>
          </cell>
          <cell r="L144">
            <v>0</v>
          </cell>
        </row>
        <row r="145">
          <cell r="A145">
            <v>2</v>
          </cell>
          <cell r="B145">
            <v>0</v>
          </cell>
          <cell r="C145">
            <v>590</v>
          </cell>
          <cell r="D145" t="str">
            <v xml:space="preserve">  </v>
          </cell>
          <cell r="E145" t="str">
            <v xml:space="preserve">    </v>
          </cell>
          <cell r="F145" t="str">
            <v xml:space="preserve">   </v>
          </cell>
          <cell r="G145">
            <v>20590</v>
          </cell>
          <cell r="H145">
            <v>1101025.55</v>
          </cell>
          <cell r="I145">
            <v>678822.74</v>
          </cell>
          <cell r="J145">
            <v>335766.46</v>
          </cell>
          <cell r="K145">
            <v>86436.35</v>
          </cell>
          <cell r="L145">
            <v>0</v>
          </cell>
        </row>
        <row r="146">
          <cell r="A146">
            <v>1</v>
          </cell>
          <cell r="B146">
            <v>0</v>
          </cell>
          <cell r="C146">
            <v>591</v>
          </cell>
          <cell r="D146" t="str">
            <v xml:space="preserve">  </v>
          </cell>
          <cell r="E146" t="str">
            <v xml:space="preserve">    </v>
          </cell>
          <cell r="F146" t="str">
            <v xml:space="preserve">   </v>
          </cell>
          <cell r="G146">
            <v>10591</v>
          </cell>
          <cell r="H146">
            <v>3570.87</v>
          </cell>
          <cell r="I146">
            <v>0</v>
          </cell>
          <cell r="J146">
            <v>3570.87</v>
          </cell>
          <cell r="K146">
            <v>0</v>
          </cell>
          <cell r="L146">
            <v>0</v>
          </cell>
        </row>
        <row r="147">
          <cell r="A147">
            <v>2</v>
          </cell>
          <cell r="B147">
            <v>0</v>
          </cell>
          <cell r="C147">
            <v>591</v>
          </cell>
          <cell r="D147" t="str">
            <v xml:space="preserve">  </v>
          </cell>
          <cell r="E147" t="str">
            <v xml:space="preserve">    </v>
          </cell>
          <cell r="F147" t="str">
            <v xml:space="preserve">   </v>
          </cell>
          <cell r="G147">
            <v>20591</v>
          </cell>
          <cell r="H147">
            <v>45914.11</v>
          </cell>
          <cell r="I147">
            <v>6.95</v>
          </cell>
          <cell r="J147">
            <v>41711.919999999998</v>
          </cell>
          <cell r="K147">
            <v>4195.24</v>
          </cell>
          <cell r="L147">
            <v>0</v>
          </cell>
        </row>
        <row r="148">
          <cell r="A148">
            <v>1</v>
          </cell>
          <cell r="B148">
            <v>0</v>
          </cell>
          <cell r="C148">
            <v>592</v>
          </cell>
          <cell r="D148" t="str">
            <v xml:space="preserve">  </v>
          </cell>
          <cell r="E148" t="str">
            <v xml:space="preserve">    </v>
          </cell>
          <cell r="F148" t="str">
            <v xml:space="preserve">   </v>
          </cell>
          <cell r="G148">
            <v>10592</v>
          </cell>
          <cell r="H148">
            <v>62128</v>
          </cell>
          <cell r="I148">
            <v>10049.07</v>
          </cell>
          <cell r="J148">
            <v>47649.26</v>
          </cell>
          <cell r="K148">
            <v>4429.67</v>
          </cell>
          <cell r="L148">
            <v>0</v>
          </cell>
        </row>
        <row r="149">
          <cell r="A149">
            <v>2</v>
          </cell>
          <cell r="B149">
            <v>0</v>
          </cell>
          <cell r="C149">
            <v>592</v>
          </cell>
          <cell r="D149" t="str">
            <v xml:space="preserve">  </v>
          </cell>
          <cell r="E149" t="str">
            <v xml:space="preserve">    </v>
          </cell>
          <cell r="F149" t="str">
            <v xml:space="preserve">   </v>
          </cell>
          <cell r="G149">
            <v>20592</v>
          </cell>
          <cell r="H149">
            <v>819104.74</v>
          </cell>
          <cell r="I149">
            <v>78685.84</v>
          </cell>
          <cell r="J149">
            <v>566311.61</v>
          </cell>
          <cell r="K149">
            <v>174107.29</v>
          </cell>
          <cell r="L149">
            <v>0</v>
          </cell>
        </row>
        <row r="150">
          <cell r="A150">
            <v>1</v>
          </cell>
          <cell r="B150">
            <v>0</v>
          </cell>
          <cell r="C150">
            <v>593</v>
          </cell>
          <cell r="D150" t="str">
            <v xml:space="preserve">  </v>
          </cell>
          <cell r="E150" t="str">
            <v xml:space="preserve">    </v>
          </cell>
          <cell r="F150" t="str">
            <v xml:space="preserve">   </v>
          </cell>
          <cell r="G150">
            <v>10593</v>
          </cell>
          <cell r="H150">
            <v>728303.79</v>
          </cell>
          <cell r="I150">
            <v>268650.13</v>
          </cell>
          <cell r="J150">
            <v>262196.65000000002</v>
          </cell>
          <cell r="K150">
            <v>197457.01</v>
          </cell>
          <cell r="L150">
            <v>0</v>
          </cell>
        </row>
        <row r="151">
          <cell r="A151">
            <v>2</v>
          </cell>
          <cell r="B151">
            <v>0</v>
          </cell>
          <cell r="C151">
            <v>593</v>
          </cell>
          <cell r="D151" t="str">
            <v xml:space="preserve">  </v>
          </cell>
          <cell r="E151" t="str">
            <v xml:space="preserve">    </v>
          </cell>
          <cell r="F151" t="str">
            <v xml:space="preserve">   </v>
          </cell>
          <cell r="G151">
            <v>20593</v>
          </cell>
          <cell r="H151">
            <v>5949299.2300000004</v>
          </cell>
          <cell r="I151">
            <v>1596494.76</v>
          </cell>
          <cell r="J151">
            <v>2416104.98</v>
          </cell>
          <cell r="K151">
            <v>1936699.49</v>
          </cell>
          <cell r="L151">
            <v>0</v>
          </cell>
        </row>
        <row r="152">
          <cell r="A152">
            <v>1</v>
          </cell>
          <cell r="B152">
            <v>0</v>
          </cell>
          <cell r="C152">
            <v>594</v>
          </cell>
          <cell r="D152" t="str">
            <v xml:space="preserve">  </v>
          </cell>
          <cell r="E152" t="str">
            <v xml:space="preserve">    </v>
          </cell>
          <cell r="F152" t="str">
            <v xml:space="preserve">   </v>
          </cell>
          <cell r="G152">
            <v>10594</v>
          </cell>
          <cell r="H152">
            <v>53226.9</v>
          </cell>
          <cell r="I152">
            <v>0</v>
          </cell>
          <cell r="J152">
            <v>32797.74</v>
          </cell>
          <cell r="K152">
            <v>20429.16</v>
          </cell>
          <cell r="L152">
            <v>0</v>
          </cell>
        </row>
        <row r="153">
          <cell r="A153">
            <v>2</v>
          </cell>
          <cell r="B153">
            <v>0</v>
          </cell>
          <cell r="C153">
            <v>594</v>
          </cell>
          <cell r="D153" t="str">
            <v xml:space="preserve">  </v>
          </cell>
          <cell r="E153" t="str">
            <v xml:space="preserve">    </v>
          </cell>
          <cell r="F153" t="str">
            <v xml:space="preserve">   </v>
          </cell>
          <cell r="G153">
            <v>20594</v>
          </cell>
          <cell r="H153">
            <v>910090.93</v>
          </cell>
          <cell r="I153">
            <v>31.9</v>
          </cell>
          <cell r="J153">
            <v>657171.18999999994</v>
          </cell>
          <cell r="K153">
            <v>252887.84</v>
          </cell>
          <cell r="L153">
            <v>0</v>
          </cell>
        </row>
        <row r="154">
          <cell r="A154">
            <v>1</v>
          </cell>
          <cell r="B154">
            <v>0</v>
          </cell>
          <cell r="C154">
            <v>595</v>
          </cell>
          <cell r="D154" t="str">
            <v xml:space="preserve">  </v>
          </cell>
          <cell r="E154" t="str">
            <v xml:space="preserve">    </v>
          </cell>
          <cell r="F154" t="str">
            <v xml:space="preserve">   </v>
          </cell>
          <cell r="G154">
            <v>10595</v>
          </cell>
          <cell r="H154">
            <v>80015.56</v>
          </cell>
          <cell r="I154">
            <v>22930.36</v>
          </cell>
          <cell r="J154">
            <v>48147.77</v>
          </cell>
          <cell r="K154">
            <v>8937.43</v>
          </cell>
          <cell r="L154">
            <v>0</v>
          </cell>
        </row>
        <row r="155">
          <cell r="A155">
            <v>2</v>
          </cell>
          <cell r="B155">
            <v>0</v>
          </cell>
          <cell r="C155">
            <v>595</v>
          </cell>
          <cell r="D155" t="str">
            <v xml:space="preserve">  </v>
          </cell>
          <cell r="E155" t="str">
            <v xml:space="preserve">    </v>
          </cell>
          <cell r="F155" t="str">
            <v xml:space="preserve">   </v>
          </cell>
          <cell r="G155">
            <v>20595</v>
          </cell>
          <cell r="H155">
            <v>706574.82</v>
          </cell>
          <cell r="I155">
            <v>35312.769999999997</v>
          </cell>
          <cell r="J155">
            <v>533294.43999999994</v>
          </cell>
          <cell r="K155">
            <v>137967.60999999999</v>
          </cell>
          <cell r="L155">
            <v>0</v>
          </cell>
        </row>
        <row r="156">
          <cell r="A156">
            <v>1</v>
          </cell>
          <cell r="B156">
            <v>0</v>
          </cell>
          <cell r="C156">
            <v>596</v>
          </cell>
          <cell r="D156" t="str">
            <v xml:space="preserve">  </v>
          </cell>
          <cell r="E156" t="str">
            <v xml:space="preserve">    </v>
          </cell>
          <cell r="F156" t="str">
            <v xml:space="preserve">   </v>
          </cell>
          <cell r="G156">
            <v>10596</v>
          </cell>
          <cell r="H156">
            <v>21922.12</v>
          </cell>
          <cell r="I156">
            <v>0</v>
          </cell>
          <cell r="J156">
            <v>13378.96</v>
          </cell>
          <cell r="K156">
            <v>8543.16</v>
          </cell>
          <cell r="L156">
            <v>0</v>
          </cell>
        </row>
        <row r="157">
          <cell r="A157">
            <v>2</v>
          </cell>
          <cell r="B157">
            <v>0</v>
          </cell>
          <cell r="C157">
            <v>596</v>
          </cell>
          <cell r="D157" t="str">
            <v xml:space="preserve">  </v>
          </cell>
          <cell r="E157" t="str">
            <v xml:space="preserve">    </v>
          </cell>
          <cell r="F157" t="str">
            <v xml:space="preserve">   </v>
          </cell>
          <cell r="G157">
            <v>20596</v>
          </cell>
          <cell r="H157">
            <v>226185.82</v>
          </cell>
          <cell r="I157">
            <v>580.51</v>
          </cell>
          <cell r="J157">
            <v>144122.95000000001</v>
          </cell>
          <cell r="K157">
            <v>81482.36</v>
          </cell>
          <cell r="L157">
            <v>0</v>
          </cell>
        </row>
        <row r="158">
          <cell r="A158">
            <v>1</v>
          </cell>
          <cell r="B158">
            <v>0</v>
          </cell>
          <cell r="C158">
            <v>597</v>
          </cell>
          <cell r="D158" t="str">
            <v xml:space="preserve">  </v>
          </cell>
          <cell r="E158" t="str">
            <v xml:space="preserve">    </v>
          </cell>
          <cell r="F158" t="str">
            <v xml:space="preserve">   </v>
          </cell>
          <cell r="G158">
            <v>10597</v>
          </cell>
          <cell r="H158">
            <v>2770.47</v>
          </cell>
          <cell r="I158">
            <v>158.08000000000001</v>
          </cell>
          <cell r="J158">
            <v>1442.69</v>
          </cell>
          <cell r="K158">
            <v>1169.7</v>
          </cell>
          <cell r="L158">
            <v>0</v>
          </cell>
        </row>
        <row r="159">
          <cell r="A159">
            <v>2</v>
          </cell>
          <cell r="B159">
            <v>0</v>
          </cell>
          <cell r="C159">
            <v>597</v>
          </cell>
          <cell r="D159" t="str">
            <v xml:space="preserve">  </v>
          </cell>
          <cell r="E159" t="str">
            <v xml:space="preserve">    </v>
          </cell>
          <cell r="F159" t="str">
            <v xml:space="preserve">   </v>
          </cell>
          <cell r="G159">
            <v>20597</v>
          </cell>
          <cell r="H159">
            <v>79733.89</v>
          </cell>
          <cell r="I159">
            <v>817.43</v>
          </cell>
          <cell r="J159">
            <v>62137.26</v>
          </cell>
          <cell r="K159">
            <v>16779.2</v>
          </cell>
          <cell r="L159">
            <v>0</v>
          </cell>
        </row>
        <row r="160">
          <cell r="A160">
            <v>1</v>
          </cell>
          <cell r="B160">
            <v>0</v>
          </cell>
          <cell r="C160">
            <v>598</v>
          </cell>
          <cell r="D160" t="str">
            <v xml:space="preserve">  </v>
          </cell>
          <cell r="E160" t="str">
            <v xml:space="preserve">    </v>
          </cell>
          <cell r="F160" t="str">
            <v xml:space="preserve">   </v>
          </cell>
          <cell r="G160">
            <v>10598</v>
          </cell>
          <cell r="H160">
            <v>172034.05</v>
          </cell>
          <cell r="I160">
            <v>171907.01</v>
          </cell>
          <cell r="J160">
            <v>127.04</v>
          </cell>
          <cell r="K160">
            <v>0</v>
          </cell>
          <cell r="L160">
            <v>0</v>
          </cell>
        </row>
        <row r="161">
          <cell r="A161">
            <v>2</v>
          </cell>
          <cell r="B161">
            <v>0</v>
          </cell>
          <cell r="C161">
            <v>598</v>
          </cell>
          <cell r="D161" t="str">
            <v xml:space="preserve">  </v>
          </cell>
          <cell r="E161" t="str">
            <v xml:space="preserve">    </v>
          </cell>
          <cell r="F161" t="str">
            <v xml:space="preserve">   </v>
          </cell>
          <cell r="G161">
            <v>20598</v>
          </cell>
          <cell r="H161">
            <v>386760.39</v>
          </cell>
          <cell r="I161">
            <v>384642.03</v>
          </cell>
          <cell r="J161">
            <v>1622.36</v>
          </cell>
          <cell r="K161">
            <v>496</v>
          </cell>
          <cell r="L161">
            <v>0</v>
          </cell>
        </row>
        <row r="162">
          <cell r="A162">
            <v>1</v>
          </cell>
          <cell r="B162">
            <v>0</v>
          </cell>
          <cell r="C162">
            <v>901</v>
          </cell>
          <cell r="D162" t="str">
            <v xml:space="preserve">  </v>
          </cell>
          <cell r="E162" t="str">
            <v xml:space="preserve">    </v>
          </cell>
          <cell r="F162" t="str">
            <v xml:space="preserve">   </v>
          </cell>
          <cell r="G162">
            <v>10901</v>
          </cell>
          <cell r="H162">
            <v>20295.91</v>
          </cell>
          <cell r="I162">
            <v>16199</v>
          </cell>
          <cell r="J162">
            <v>3534.45</v>
          </cell>
          <cell r="K162">
            <v>562.46</v>
          </cell>
          <cell r="L162">
            <v>0</v>
          </cell>
        </row>
        <row r="163">
          <cell r="A163">
            <v>2</v>
          </cell>
          <cell r="B163">
            <v>0</v>
          </cell>
          <cell r="C163">
            <v>901</v>
          </cell>
          <cell r="D163" t="str">
            <v xml:space="preserve">  </v>
          </cell>
          <cell r="E163" t="str">
            <v xml:space="preserve">    </v>
          </cell>
          <cell r="F163" t="str">
            <v xml:space="preserve">   </v>
          </cell>
          <cell r="G163">
            <v>20901</v>
          </cell>
          <cell r="H163">
            <v>273656.09999999998</v>
          </cell>
          <cell r="I163">
            <v>228808.58</v>
          </cell>
          <cell r="J163">
            <v>41455.129999999997</v>
          </cell>
          <cell r="K163">
            <v>3392.39</v>
          </cell>
          <cell r="L163">
            <v>0</v>
          </cell>
        </row>
        <row r="164">
          <cell r="A164">
            <v>1</v>
          </cell>
          <cell r="B164">
            <v>0</v>
          </cell>
          <cell r="C164">
            <v>902</v>
          </cell>
          <cell r="D164" t="str">
            <v xml:space="preserve">  </v>
          </cell>
          <cell r="E164" t="str">
            <v xml:space="preserve">    </v>
          </cell>
          <cell r="F164" t="str">
            <v xml:space="preserve">   </v>
          </cell>
          <cell r="G164">
            <v>10902</v>
          </cell>
          <cell r="H164">
            <v>211527.37</v>
          </cell>
          <cell r="I164">
            <v>21154.22</v>
          </cell>
          <cell r="J164">
            <v>124208.19</v>
          </cell>
          <cell r="K164">
            <v>66164.960000000006</v>
          </cell>
          <cell r="L164">
            <v>0</v>
          </cell>
        </row>
        <row r="165">
          <cell r="A165">
            <v>2</v>
          </cell>
          <cell r="B165">
            <v>0</v>
          </cell>
          <cell r="C165">
            <v>902</v>
          </cell>
          <cell r="D165" t="str">
            <v xml:space="preserve">  </v>
          </cell>
          <cell r="E165" t="str">
            <v xml:space="preserve">    </v>
          </cell>
          <cell r="F165" t="str">
            <v xml:space="preserve">   </v>
          </cell>
          <cell r="G165">
            <v>20902</v>
          </cell>
          <cell r="H165">
            <v>1997811.94</v>
          </cell>
          <cell r="I165">
            <v>36095.660000000003</v>
          </cell>
          <cell r="J165">
            <v>1281378.96</v>
          </cell>
          <cell r="K165">
            <v>680337.32</v>
          </cell>
          <cell r="L165">
            <v>0</v>
          </cell>
        </row>
        <row r="166">
          <cell r="A166">
            <v>1</v>
          </cell>
          <cell r="B166">
            <v>0</v>
          </cell>
          <cell r="C166">
            <v>904</v>
          </cell>
          <cell r="D166" t="str">
            <v xml:space="preserve">  </v>
          </cell>
          <cell r="E166" t="str">
            <v xml:space="preserve">    </v>
          </cell>
          <cell r="F166" t="str">
            <v xml:space="preserve">   </v>
          </cell>
          <cell r="G166">
            <v>10904</v>
          </cell>
          <cell r="H166">
            <v>214882.19</v>
          </cell>
          <cell r="I166">
            <v>214882.19</v>
          </cell>
          <cell r="J166">
            <v>0</v>
          </cell>
          <cell r="K166">
            <v>0</v>
          </cell>
          <cell r="L166">
            <v>0</v>
          </cell>
        </row>
        <row r="167">
          <cell r="A167">
            <v>2</v>
          </cell>
          <cell r="B167">
            <v>0</v>
          </cell>
          <cell r="C167">
            <v>904</v>
          </cell>
          <cell r="D167" t="str">
            <v xml:space="preserve">  </v>
          </cell>
          <cell r="E167" t="str">
            <v xml:space="preserve">    </v>
          </cell>
          <cell r="F167" t="str">
            <v xml:space="preserve">   </v>
          </cell>
          <cell r="G167">
            <v>20904</v>
          </cell>
          <cell r="H167">
            <v>1289269.68</v>
          </cell>
          <cell r="I167">
            <v>1289269.68</v>
          </cell>
          <cell r="J167">
            <v>0</v>
          </cell>
          <cell r="K167">
            <v>0</v>
          </cell>
          <cell r="L167">
            <v>0</v>
          </cell>
        </row>
        <row r="168">
          <cell r="A168">
            <v>1</v>
          </cell>
          <cell r="B168">
            <v>0</v>
          </cell>
          <cell r="C168">
            <v>905</v>
          </cell>
          <cell r="D168" t="str">
            <v xml:space="preserve">  </v>
          </cell>
          <cell r="E168" t="str">
            <v xml:space="preserve">    </v>
          </cell>
          <cell r="F168" t="str">
            <v xml:space="preserve">   </v>
          </cell>
          <cell r="G168">
            <v>10905</v>
          </cell>
          <cell r="H168">
            <v>11953.19</v>
          </cell>
          <cell r="I168">
            <v>11896.39</v>
          </cell>
          <cell r="J168">
            <v>56.8</v>
          </cell>
          <cell r="K168">
            <v>0</v>
          </cell>
          <cell r="L168">
            <v>0</v>
          </cell>
        </row>
        <row r="169">
          <cell r="A169">
            <v>2</v>
          </cell>
          <cell r="B169">
            <v>0</v>
          </cell>
          <cell r="C169">
            <v>905</v>
          </cell>
          <cell r="D169" t="str">
            <v xml:space="preserve">  </v>
          </cell>
          <cell r="E169" t="str">
            <v xml:space="preserve">    </v>
          </cell>
          <cell r="F169" t="str">
            <v xml:space="preserve">   </v>
          </cell>
          <cell r="G169">
            <v>20905</v>
          </cell>
          <cell r="H169">
            <v>184510.97</v>
          </cell>
          <cell r="I169">
            <v>178726.62</v>
          </cell>
          <cell r="J169">
            <v>418.22</v>
          </cell>
          <cell r="K169">
            <v>5366.13</v>
          </cell>
          <cell r="L169">
            <v>0</v>
          </cell>
        </row>
        <row r="170">
          <cell r="A170">
            <v>1</v>
          </cell>
          <cell r="B170">
            <v>0</v>
          </cell>
          <cell r="C170">
            <v>909</v>
          </cell>
          <cell r="D170" t="str">
            <v xml:space="preserve">  </v>
          </cell>
          <cell r="E170" t="str">
            <v xml:space="preserve">    </v>
          </cell>
          <cell r="F170" t="str">
            <v xml:space="preserve">   </v>
          </cell>
          <cell r="G170">
            <v>10909</v>
          </cell>
          <cell r="H170">
            <v>51784.71</v>
          </cell>
          <cell r="I170">
            <v>51752.15</v>
          </cell>
          <cell r="J170">
            <v>32.56</v>
          </cell>
          <cell r="K170">
            <v>0</v>
          </cell>
          <cell r="L170">
            <v>0</v>
          </cell>
        </row>
        <row r="171">
          <cell r="A171">
            <v>2</v>
          </cell>
          <cell r="B171">
            <v>0</v>
          </cell>
          <cell r="C171">
            <v>909</v>
          </cell>
          <cell r="D171" t="str">
            <v xml:space="preserve">  </v>
          </cell>
          <cell r="E171" t="str">
            <v xml:space="preserve">    </v>
          </cell>
          <cell r="F171" t="str">
            <v xml:space="preserve">   </v>
          </cell>
          <cell r="G171">
            <v>20909</v>
          </cell>
          <cell r="H171">
            <v>102786.61</v>
          </cell>
          <cell r="I171">
            <v>100472.82</v>
          </cell>
          <cell r="J171">
            <v>2183.5500000000002</v>
          </cell>
          <cell r="K171">
            <v>130.24</v>
          </cell>
          <cell r="L171">
            <v>0</v>
          </cell>
        </row>
        <row r="172">
          <cell r="A172">
            <v>1</v>
          </cell>
          <cell r="B172">
            <v>0</v>
          </cell>
          <cell r="C172">
            <v>910</v>
          </cell>
          <cell r="D172" t="str">
            <v xml:space="preserve">  </v>
          </cell>
          <cell r="E172" t="str">
            <v xml:space="preserve">    </v>
          </cell>
          <cell r="F172" t="str">
            <v xml:space="preserve">   </v>
          </cell>
          <cell r="G172">
            <v>10910</v>
          </cell>
          <cell r="H172">
            <v>448.72</v>
          </cell>
          <cell r="I172">
            <v>448.72</v>
          </cell>
          <cell r="J172">
            <v>0</v>
          </cell>
          <cell r="K172">
            <v>0</v>
          </cell>
          <cell r="L172">
            <v>0</v>
          </cell>
        </row>
        <row r="173">
          <cell r="A173">
            <v>2</v>
          </cell>
          <cell r="B173">
            <v>0</v>
          </cell>
          <cell r="C173">
            <v>910</v>
          </cell>
          <cell r="D173" t="str">
            <v xml:space="preserve">  </v>
          </cell>
          <cell r="E173" t="str">
            <v xml:space="preserve">    </v>
          </cell>
          <cell r="F173" t="str">
            <v xml:space="preserve">   </v>
          </cell>
          <cell r="G173">
            <v>20910</v>
          </cell>
          <cell r="H173">
            <v>2224.14</v>
          </cell>
          <cell r="I173">
            <v>2224.14</v>
          </cell>
          <cell r="J173">
            <v>0</v>
          </cell>
          <cell r="K173">
            <v>0</v>
          </cell>
          <cell r="L173">
            <v>0</v>
          </cell>
        </row>
        <row r="174">
          <cell r="A174">
            <v>1</v>
          </cell>
          <cell r="B174">
            <v>0</v>
          </cell>
          <cell r="C174">
            <v>912</v>
          </cell>
          <cell r="D174" t="str">
            <v xml:space="preserve">  </v>
          </cell>
          <cell r="E174" t="str">
            <v xml:space="preserve">    </v>
          </cell>
          <cell r="F174" t="str">
            <v xml:space="preserve">   </v>
          </cell>
          <cell r="G174">
            <v>10912</v>
          </cell>
          <cell r="H174">
            <v>40528.629999999997</v>
          </cell>
          <cell r="I174">
            <v>37500.53</v>
          </cell>
          <cell r="J174">
            <v>195.9</v>
          </cell>
          <cell r="K174">
            <v>2832.2</v>
          </cell>
          <cell r="L174">
            <v>0</v>
          </cell>
        </row>
        <row r="175">
          <cell r="A175">
            <v>2</v>
          </cell>
          <cell r="B175">
            <v>0</v>
          </cell>
          <cell r="C175">
            <v>912</v>
          </cell>
          <cell r="D175" t="str">
            <v xml:space="preserve">  </v>
          </cell>
          <cell r="E175" t="str">
            <v xml:space="preserve">    </v>
          </cell>
          <cell r="F175" t="str">
            <v xml:space="preserve">   </v>
          </cell>
          <cell r="G175">
            <v>20912</v>
          </cell>
          <cell r="H175">
            <v>602539.47</v>
          </cell>
          <cell r="I175">
            <v>559933.34</v>
          </cell>
          <cell r="J175">
            <v>9375.57</v>
          </cell>
          <cell r="K175">
            <v>33230.559999999998</v>
          </cell>
          <cell r="L175">
            <v>0</v>
          </cell>
        </row>
        <row r="176">
          <cell r="A176">
            <v>1</v>
          </cell>
          <cell r="B176">
            <v>0</v>
          </cell>
          <cell r="C176">
            <v>920</v>
          </cell>
          <cell r="D176" t="str">
            <v xml:space="preserve">  </v>
          </cell>
          <cell r="E176" t="str">
            <v xml:space="preserve">    </v>
          </cell>
          <cell r="F176" t="str">
            <v xml:space="preserve">   </v>
          </cell>
          <cell r="G176">
            <v>10920</v>
          </cell>
          <cell r="H176">
            <v>1618041.42</v>
          </cell>
          <cell r="I176">
            <v>1462034.67</v>
          </cell>
          <cell r="J176">
            <v>64764.2</v>
          </cell>
          <cell r="K176">
            <v>91242.55</v>
          </cell>
          <cell r="L176">
            <v>0</v>
          </cell>
        </row>
        <row r="177">
          <cell r="A177">
            <v>2</v>
          </cell>
          <cell r="B177">
            <v>0</v>
          </cell>
          <cell r="C177">
            <v>920</v>
          </cell>
          <cell r="D177" t="str">
            <v xml:space="preserve">  </v>
          </cell>
          <cell r="E177" t="str">
            <v xml:space="preserve">    </v>
          </cell>
          <cell r="F177" t="str">
            <v xml:space="preserve">   </v>
          </cell>
          <cell r="G177">
            <v>20920</v>
          </cell>
          <cell r="H177">
            <v>15232120.08</v>
          </cell>
          <cell r="I177">
            <v>14173044.779999999</v>
          </cell>
          <cell r="J177">
            <v>788981.59</v>
          </cell>
          <cell r="K177">
            <v>270093.71000000002</v>
          </cell>
          <cell r="L177">
            <v>0</v>
          </cell>
        </row>
        <row r="178">
          <cell r="A178">
            <v>1</v>
          </cell>
          <cell r="B178">
            <v>0</v>
          </cell>
          <cell r="C178">
            <v>921</v>
          </cell>
          <cell r="D178" t="str">
            <v xml:space="preserve">  </v>
          </cell>
          <cell r="E178" t="str">
            <v xml:space="preserve">    </v>
          </cell>
          <cell r="F178" t="str">
            <v xml:space="preserve">   </v>
          </cell>
          <cell r="G178">
            <v>10921</v>
          </cell>
          <cell r="H178">
            <v>1502677.15</v>
          </cell>
          <cell r="I178">
            <v>1418406.53</v>
          </cell>
          <cell r="J178">
            <v>64973.31</v>
          </cell>
          <cell r="K178">
            <v>19297.310000000001</v>
          </cell>
          <cell r="L178">
            <v>0</v>
          </cell>
        </row>
        <row r="179">
          <cell r="A179">
            <v>2</v>
          </cell>
          <cell r="B179">
            <v>0</v>
          </cell>
          <cell r="C179">
            <v>921</v>
          </cell>
          <cell r="D179" t="str">
            <v xml:space="preserve">  </v>
          </cell>
          <cell r="E179" t="str">
            <v xml:space="preserve">    </v>
          </cell>
          <cell r="F179" t="str">
            <v xml:space="preserve">   </v>
          </cell>
          <cell r="G179">
            <v>20921</v>
          </cell>
          <cell r="H179">
            <v>7402534.96</v>
          </cell>
          <cell r="I179">
            <v>6783316.8799999999</v>
          </cell>
          <cell r="J179">
            <v>427142.58</v>
          </cell>
          <cell r="K179">
            <v>192075.5</v>
          </cell>
          <cell r="L179">
            <v>0</v>
          </cell>
        </row>
        <row r="180">
          <cell r="A180">
            <v>1</v>
          </cell>
          <cell r="B180">
            <v>0</v>
          </cell>
          <cell r="C180">
            <v>922</v>
          </cell>
          <cell r="D180" t="str">
            <v xml:space="preserve">  </v>
          </cell>
          <cell r="E180" t="str">
            <v xml:space="preserve">    </v>
          </cell>
          <cell r="F180" t="str">
            <v xml:space="preserve">   </v>
          </cell>
          <cell r="G180">
            <v>10922</v>
          </cell>
          <cell r="H180">
            <v>-2129.0700000000002</v>
          </cell>
          <cell r="I180">
            <v>-2129.0700000000002</v>
          </cell>
          <cell r="J180">
            <v>0</v>
          </cell>
          <cell r="K180">
            <v>0</v>
          </cell>
          <cell r="L180">
            <v>0</v>
          </cell>
        </row>
        <row r="181">
          <cell r="A181">
            <v>2</v>
          </cell>
          <cell r="B181">
            <v>0</v>
          </cell>
          <cell r="C181">
            <v>922</v>
          </cell>
          <cell r="D181" t="str">
            <v xml:space="preserve">  </v>
          </cell>
          <cell r="E181" t="str">
            <v xml:space="preserve">    </v>
          </cell>
          <cell r="F181" t="str">
            <v xml:space="preserve">   </v>
          </cell>
          <cell r="G181">
            <v>20922</v>
          </cell>
          <cell r="H181">
            <v>-10170.540000000001</v>
          </cell>
          <cell r="I181">
            <v>-10170.540000000001</v>
          </cell>
          <cell r="J181">
            <v>0</v>
          </cell>
          <cell r="K181">
            <v>0</v>
          </cell>
          <cell r="L181">
            <v>0</v>
          </cell>
        </row>
        <row r="182">
          <cell r="A182">
            <v>1</v>
          </cell>
          <cell r="B182">
            <v>0</v>
          </cell>
          <cell r="C182">
            <v>923</v>
          </cell>
          <cell r="D182" t="str">
            <v xml:space="preserve">  </v>
          </cell>
          <cell r="E182" t="str">
            <v xml:space="preserve">    </v>
          </cell>
          <cell r="F182" t="str">
            <v xml:space="preserve">   </v>
          </cell>
          <cell r="G182">
            <v>10923</v>
          </cell>
          <cell r="H182">
            <v>1107229.8600000001</v>
          </cell>
          <cell r="I182">
            <v>1067173.3600000001</v>
          </cell>
          <cell r="J182">
            <v>36306.35</v>
          </cell>
          <cell r="K182">
            <v>3750.15</v>
          </cell>
          <cell r="L182">
            <v>0</v>
          </cell>
        </row>
        <row r="183">
          <cell r="A183">
            <v>2</v>
          </cell>
          <cell r="B183">
            <v>0</v>
          </cell>
          <cell r="C183">
            <v>923</v>
          </cell>
          <cell r="D183" t="str">
            <v xml:space="preserve">  </v>
          </cell>
          <cell r="E183" t="str">
            <v xml:space="preserve">    </v>
          </cell>
          <cell r="F183" t="str">
            <v xml:space="preserve">   </v>
          </cell>
          <cell r="G183">
            <v>20923</v>
          </cell>
          <cell r="H183">
            <v>9706432.9000000004</v>
          </cell>
          <cell r="I183">
            <v>9500252.1600000001</v>
          </cell>
          <cell r="J183">
            <v>149691.18</v>
          </cell>
          <cell r="K183">
            <v>56489.56</v>
          </cell>
          <cell r="L183">
            <v>0</v>
          </cell>
        </row>
        <row r="184">
          <cell r="A184">
            <v>1</v>
          </cell>
          <cell r="B184">
            <v>0</v>
          </cell>
          <cell r="C184">
            <v>924</v>
          </cell>
          <cell r="D184" t="str">
            <v xml:space="preserve">  </v>
          </cell>
          <cell r="E184" t="str">
            <v xml:space="preserve">    </v>
          </cell>
          <cell r="F184" t="str">
            <v xml:space="preserve">   </v>
          </cell>
          <cell r="G184">
            <v>10924</v>
          </cell>
          <cell r="H184">
            <v>52283.15</v>
          </cell>
          <cell r="I184">
            <v>52283.15</v>
          </cell>
          <cell r="J184">
            <v>0</v>
          </cell>
          <cell r="K184">
            <v>0</v>
          </cell>
          <cell r="L184">
            <v>0</v>
          </cell>
        </row>
        <row r="185">
          <cell r="A185">
            <v>2</v>
          </cell>
          <cell r="B185">
            <v>0</v>
          </cell>
          <cell r="C185">
            <v>924</v>
          </cell>
          <cell r="D185" t="str">
            <v xml:space="preserve">  </v>
          </cell>
          <cell r="E185" t="str">
            <v xml:space="preserve">    </v>
          </cell>
          <cell r="F185" t="str">
            <v xml:space="preserve">   </v>
          </cell>
          <cell r="G185">
            <v>20924</v>
          </cell>
          <cell r="H185">
            <v>578990.85</v>
          </cell>
          <cell r="I185">
            <v>578990.85</v>
          </cell>
          <cell r="J185">
            <v>0</v>
          </cell>
          <cell r="K185">
            <v>0</v>
          </cell>
          <cell r="L185">
            <v>0</v>
          </cell>
        </row>
        <row r="186">
          <cell r="A186">
            <v>1</v>
          </cell>
          <cell r="B186">
            <v>0</v>
          </cell>
          <cell r="C186">
            <v>925</v>
          </cell>
          <cell r="D186" t="str">
            <v xml:space="preserve">  </v>
          </cell>
          <cell r="E186" t="str">
            <v xml:space="preserve">    </v>
          </cell>
          <cell r="F186" t="str">
            <v xml:space="preserve">   </v>
          </cell>
          <cell r="G186">
            <v>10925</v>
          </cell>
          <cell r="H186">
            <v>166896.60999999999</v>
          </cell>
          <cell r="I186">
            <v>165106.72</v>
          </cell>
          <cell r="J186">
            <v>542.29</v>
          </cell>
          <cell r="K186">
            <v>1247.5999999999999</v>
          </cell>
          <cell r="L186">
            <v>0</v>
          </cell>
        </row>
        <row r="187">
          <cell r="A187">
            <v>2</v>
          </cell>
          <cell r="B187">
            <v>0</v>
          </cell>
          <cell r="C187">
            <v>925</v>
          </cell>
          <cell r="D187" t="str">
            <v xml:space="preserve">  </v>
          </cell>
          <cell r="E187" t="str">
            <v xml:space="preserve">    </v>
          </cell>
          <cell r="F187" t="str">
            <v xml:space="preserve">   </v>
          </cell>
          <cell r="G187">
            <v>20925</v>
          </cell>
          <cell r="H187">
            <v>1498278.69</v>
          </cell>
          <cell r="I187">
            <v>1473350.44</v>
          </cell>
          <cell r="J187">
            <v>12824.81</v>
          </cell>
          <cell r="K187">
            <v>12103.44</v>
          </cell>
          <cell r="L187">
            <v>0</v>
          </cell>
        </row>
        <row r="188">
          <cell r="A188">
            <v>1</v>
          </cell>
          <cell r="B188">
            <v>0</v>
          </cell>
          <cell r="C188">
            <v>926</v>
          </cell>
          <cell r="D188" t="str">
            <v xml:space="preserve">  </v>
          </cell>
          <cell r="E188" t="str">
            <v xml:space="preserve">    </v>
          </cell>
          <cell r="F188" t="str">
            <v xml:space="preserve">   </v>
          </cell>
          <cell r="G188">
            <v>10926</v>
          </cell>
          <cell r="H188">
            <v>290436.77</v>
          </cell>
          <cell r="I188">
            <v>219140.71</v>
          </cell>
          <cell r="J188">
            <v>49025.99</v>
          </cell>
          <cell r="K188">
            <v>22270.07</v>
          </cell>
          <cell r="L188">
            <v>0</v>
          </cell>
        </row>
        <row r="189">
          <cell r="A189">
            <v>2</v>
          </cell>
          <cell r="B189">
            <v>0</v>
          </cell>
          <cell r="C189">
            <v>926</v>
          </cell>
          <cell r="D189" t="str">
            <v xml:space="preserve">  </v>
          </cell>
          <cell r="E189" t="str">
            <v xml:space="preserve">    </v>
          </cell>
          <cell r="F189" t="str">
            <v xml:space="preserve">   </v>
          </cell>
          <cell r="G189">
            <v>20926</v>
          </cell>
          <cell r="H189">
            <v>2801947.01</v>
          </cell>
          <cell r="I189">
            <v>1927919.85</v>
          </cell>
          <cell r="J189">
            <v>645971.85</v>
          </cell>
          <cell r="K189">
            <v>228055.31</v>
          </cell>
          <cell r="L189">
            <v>0</v>
          </cell>
        </row>
        <row r="190">
          <cell r="A190">
            <v>1</v>
          </cell>
          <cell r="B190">
            <v>0</v>
          </cell>
          <cell r="C190">
            <v>927</v>
          </cell>
          <cell r="D190" t="str">
            <v xml:space="preserve">  </v>
          </cell>
          <cell r="E190" t="str">
            <v xml:space="preserve">    </v>
          </cell>
          <cell r="F190" t="str">
            <v xml:space="preserve">   </v>
          </cell>
          <cell r="G190">
            <v>10927</v>
          </cell>
          <cell r="H190">
            <v>111036.4</v>
          </cell>
          <cell r="I190">
            <v>0</v>
          </cell>
          <cell r="J190">
            <v>14537.05</v>
          </cell>
          <cell r="K190">
            <v>96499.35</v>
          </cell>
          <cell r="L190">
            <v>0</v>
          </cell>
        </row>
        <row r="191">
          <cell r="A191">
            <v>2</v>
          </cell>
          <cell r="B191">
            <v>0</v>
          </cell>
          <cell r="C191">
            <v>927</v>
          </cell>
          <cell r="D191" t="str">
            <v xml:space="preserve">  </v>
          </cell>
          <cell r="E191" t="str">
            <v xml:space="preserve">    </v>
          </cell>
          <cell r="F191" t="str">
            <v xml:space="preserve">   </v>
          </cell>
          <cell r="G191">
            <v>20927</v>
          </cell>
          <cell r="H191">
            <v>1152534.29</v>
          </cell>
          <cell r="I191">
            <v>0</v>
          </cell>
          <cell r="J191">
            <v>160657.82999999999</v>
          </cell>
          <cell r="K191">
            <v>991876.46</v>
          </cell>
          <cell r="L191">
            <v>0</v>
          </cell>
        </row>
        <row r="192">
          <cell r="A192">
            <v>1</v>
          </cell>
          <cell r="B192">
            <v>0</v>
          </cell>
          <cell r="C192">
            <v>930</v>
          </cell>
          <cell r="D192" t="str">
            <v xml:space="preserve">  </v>
          </cell>
          <cell r="E192" t="str">
            <v xml:space="preserve">    </v>
          </cell>
          <cell r="F192" t="str">
            <v xml:space="preserve">   </v>
          </cell>
          <cell r="G192">
            <v>10930</v>
          </cell>
          <cell r="H192">
            <v>285621.86</v>
          </cell>
          <cell r="I192">
            <v>217116.11</v>
          </cell>
          <cell r="J192">
            <v>40596.79</v>
          </cell>
          <cell r="K192">
            <v>27908.959999999999</v>
          </cell>
          <cell r="L192">
            <v>0</v>
          </cell>
        </row>
        <row r="193">
          <cell r="A193">
            <v>2</v>
          </cell>
          <cell r="B193">
            <v>0</v>
          </cell>
          <cell r="C193">
            <v>930</v>
          </cell>
          <cell r="D193" t="str">
            <v xml:space="preserve">  </v>
          </cell>
          <cell r="E193" t="str">
            <v xml:space="preserve">    </v>
          </cell>
          <cell r="F193" t="str">
            <v xml:space="preserve">   </v>
          </cell>
          <cell r="G193">
            <v>20930</v>
          </cell>
          <cell r="H193">
            <v>3210890.32</v>
          </cell>
          <cell r="I193">
            <v>2594464.9500000002</v>
          </cell>
          <cell r="J193">
            <v>437931.91</v>
          </cell>
          <cell r="K193">
            <v>178493.46</v>
          </cell>
          <cell r="L193">
            <v>0</v>
          </cell>
        </row>
        <row r="194">
          <cell r="A194">
            <v>1</v>
          </cell>
          <cell r="B194">
            <v>0</v>
          </cell>
          <cell r="C194">
            <v>931</v>
          </cell>
          <cell r="D194" t="str">
            <v xml:space="preserve">  </v>
          </cell>
          <cell r="E194" t="str">
            <v xml:space="preserve">    </v>
          </cell>
          <cell r="F194" t="str">
            <v xml:space="preserve">   </v>
          </cell>
          <cell r="G194">
            <v>10931</v>
          </cell>
          <cell r="H194">
            <v>453816.18</v>
          </cell>
          <cell r="I194">
            <v>451595.56</v>
          </cell>
          <cell r="J194">
            <v>799.25</v>
          </cell>
          <cell r="K194">
            <v>1421.37</v>
          </cell>
          <cell r="L194">
            <v>0</v>
          </cell>
        </row>
        <row r="195">
          <cell r="A195">
            <v>2</v>
          </cell>
          <cell r="B195">
            <v>0</v>
          </cell>
          <cell r="C195">
            <v>931</v>
          </cell>
          <cell r="D195" t="str">
            <v xml:space="preserve">  </v>
          </cell>
          <cell r="E195" t="str">
            <v xml:space="preserve">    </v>
          </cell>
          <cell r="F195" t="str">
            <v xml:space="preserve">   </v>
          </cell>
          <cell r="G195">
            <v>20931</v>
          </cell>
          <cell r="H195">
            <v>4653385.6900000004</v>
          </cell>
          <cell r="I195">
            <v>4617664.38</v>
          </cell>
          <cell r="J195">
            <v>28270.67</v>
          </cell>
          <cell r="K195">
            <v>7450.64</v>
          </cell>
          <cell r="L195">
            <v>0</v>
          </cell>
        </row>
        <row r="196">
          <cell r="A196">
            <v>1</v>
          </cell>
          <cell r="B196">
            <v>0</v>
          </cell>
          <cell r="C196">
            <v>935</v>
          </cell>
          <cell r="D196" t="str">
            <v xml:space="preserve">  </v>
          </cell>
          <cell r="E196" t="str">
            <v xml:space="preserve">    </v>
          </cell>
          <cell r="F196" t="str">
            <v xml:space="preserve">   </v>
          </cell>
          <cell r="G196">
            <v>10935</v>
          </cell>
          <cell r="H196">
            <v>344126.05</v>
          </cell>
          <cell r="I196">
            <v>276813.62</v>
          </cell>
          <cell r="J196">
            <v>40876.959999999999</v>
          </cell>
          <cell r="K196">
            <v>26435.47</v>
          </cell>
          <cell r="L196">
            <v>0</v>
          </cell>
        </row>
        <row r="197">
          <cell r="A197">
            <v>2</v>
          </cell>
          <cell r="B197">
            <v>0</v>
          </cell>
          <cell r="C197">
            <v>935</v>
          </cell>
          <cell r="D197" t="str">
            <v xml:space="preserve">  </v>
          </cell>
          <cell r="E197" t="str">
            <v xml:space="preserve">    </v>
          </cell>
          <cell r="F197" t="str">
            <v xml:space="preserve">   </v>
          </cell>
          <cell r="G197">
            <v>20935</v>
          </cell>
          <cell r="H197">
            <v>2733212.02</v>
          </cell>
          <cell r="I197">
            <v>1992644.91</v>
          </cell>
          <cell r="J197">
            <v>451419.54</v>
          </cell>
          <cell r="K197">
            <v>289147.57</v>
          </cell>
          <cell r="L197">
            <v>0</v>
          </cell>
        </row>
        <row r="198">
          <cell r="A198">
            <v>1</v>
          </cell>
          <cell r="B198">
            <v>1</v>
          </cell>
          <cell r="C198">
            <v>400</v>
          </cell>
          <cell r="D198" t="str">
            <v xml:space="preserve">  </v>
          </cell>
          <cell r="E198" t="str">
            <v xml:space="preserve">    </v>
          </cell>
          <cell r="F198" t="str">
            <v xml:space="preserve">   </v>
          </cell>
          <cell r="G198">
            <v>11400</v>
          </cell>
          <cell r="H198">
            <v>-3585251</v>
          </cell>
          <cell r="I198">
            <v>0</v>
          </cell>
          <cell r="J198">
            <v>-2623658</v>
          </cell>
          <cell r="K198">
            <v>-961593</v>
          </cell>
          <cell r="L198">
            <v>0</v>
          </cell>
        </row>
        <row r="199">
          <cell r="A199">
            <v>2</v>
          </cell>
          <cell r="B199">
            <v>1</v>
          </cell>
          <cell r="C199">
            <v>400</v>
          </cell>
          <cell r="D199" t="str">
            <v xml:space="preserve">  </v>
          </cell>
          <cell r="E199" t="str">
            <v xml:space="preserve">    </v>
          </cell>
          <cell r="F199" t="str">
            <v xml:space="preserve">   </v>
          </cell>
          <cell r="G199">
            <v>21400</v>
          </cell>
          <cell r="H199">
            <v>-1632787</v>
          </cell>
          <cell r="I199">
            <v>0</v>
          </cell>
          <cell r="J199">
            <v>-1286414</v>
          </cell>
          <cell r="K199">
            <v>-346373</v>
          </cell>
          <cell r="L199">
            <v>0</v>
          </cell>
        </row>
        <row r="200">
          <cell r="A200">
            <v>1</v>
          </cell>
          <cell r="B200">
            <v>1</v>
          </cell>
          <cell r="C200">
            <v>480</v>
          </cell>
          <cell r="D200" t="str">
            <v xml:space="preserve">  </v>
          </cell>
          <cell r="E200" t="str">
            <v xml:space="preserve">    </v>
          </cell>
          <cell r="F200" t="str">
            <v xml:space="preserve">   </v>
          </cell>
          <cell r="G200">
            <v>11480</v>
          </cell>
          <cell r="H200">
            <v>-7693050.5199999996</v>
          </cell>
          <cell r="I200">
            <v>0</v>
          </cell>
          <cell r="J200">
            <v>-5474848.9699999997</v>
          </cell>
          <cell r="K200">
            <v>-2218201.5499999998</v>
          </cell>
          <cell r="L200">
            <v>0</v>
          </cell>
        </row>
        <row r="201">
          <cell r="A201">
            <v>2</v>
          </cell>
          <cell r="B201">
            <v>1</v>
          </cell>
          <cell r="C201">
            <v>480</v>
          </cell>
          <cell r="D201" t="str">
            <v xml:space="preserve">  </v>
          </cell>
          <cell r="E201" t="str">
            <v xml:space="preserve">    </v>
          </cell>
          <cell r="F201" t="str">
            <v xml:space="preserve">   </v>
          </cell>
          <cell r="G201">
            <v>21480</v>
          </cell>
          <cell r="H201">
            <v>-55382749.409999996</v>
          </cell>
          <cell r="I201">
            <v>0</v>
          </cell>
          <cell r="J201">
            <v>-39328595.979999997</v>
          </cell>
          <cell r="K201">
            <v>-16054153.43</v>
          </cell>
          <cell r="L201">
            <v>0</v>
          </cell>
        </row>
        <row r="202">
          <cell r="A202">
            <v>1</v>
          </cell>
          <cell r="B202">
            <v>1</v>
          </cell>
          <cell r="C202">
            <v>483</v>
          </cell>
          <cell r="D202" t="str">
            <v xml:space="preserve">  </v>
          </cell>
          <cell r="E202" t="str">
            <v xml:space="preserve">    </v>
          </cell>
          <cell r="F202" t="str">
            <v xml:space="preserve">   </v>
          </cell>
          <cell r="G202">
            <v>11483</v>
          </cell>
          <cell r="H202">
            <v>-849199.96</v>
          </cell>
          <cell r="I202">
            <v>-849199.96</v>
          </cell>
          <cell r="J202">
            <v>0</v>
          </cell>
          <cell r="K202">
            <v>0</v>
          </cell>
          <cell r="L202">
            <v>0</v>
          </cell>
        </row>
        <row r="203">
          <cell r="A203">
            <v>2</v>
          </cell>
          <cell r="B203">
            <v>1</v>
          </cell>
          <cell r="C203">
            <v>483</v>
          </cell>
          <cell r="D203" t="str">
            <v xml:space="preserve">  </v>
          </cell>
          <cell r="E203" t="str">
            <v xml:space="preserve">    </v>
          </cell>
          <cell r="F203" t="str">
            <v xml:space="preserve">   </v>
          </cell>
          <cell r="G203">
            <v>21483</v>
          </cell>
          <cell r="H203">
            <v>-14834972.5</v>
          </cell>
          <cell r="I203">
            <v>-14834972.5</v>
          </cell>
          <cell r="J203">
            <v>0</v>
          </cell>
          <cell r="K203">
            <v>0</v>
          </cell>
          <cell r="L203">
            <v>0</v>
          </cell>
        </row>
        <row r="204">
          <cell r="A204">
            <v>1</v>
          </cell>
          <cell r="B204">
            <v>1</v>
          </cell>
          <cell r="C204">
            <v>484</v>
          </cell>
          <cell r="D204" t="str">
            <v xml:space="preserve">  </v>
          </cell>
          <cell r="E204" t="str">
            <v xml:space="preserve">    </v>
          </cell>
          <cell r="F204" t="str">
            <v xml:space="preserve">   </v>
          </cell>
          <cell r="G204">
            <v>11484</v>
          </cell>
          <cell r="H204">
            <v>-807743.61</v>
          </cell>
          <cell r="I204">
            <v>-782416.84</v>
          </cell>
          <cell r="J204">
            <v>-23644.44</v>
          </cell>
          <cell r="K204">
            <v>-1682.33</v>
          </cell>
          <cell r="L204">
            <v>0</v>
          </cell>
        </row>
        <row r="205">
          <cell r="A205">
            <v>2</v>
          </cell>
          <cell r="B205">
            <v>1</v>
          </cell>
          <cell r="C205">
            <v>484</v>
          </cell>
          <cell r="D205" t="str">
            <v xml:space="preserve">  </v>
          </cell>
          <cell r="E205" t="str">
            <v xml:space="preserve">    </v>
          </cell>
          <cell r="F205" t="str">
            <v xml:space="preserve">   </v>
          </cell>
          <cell r="G205">
            <v>21484</v>
          </cell>
          <cell r="H205">
            <v>-5987370.7999999998</v>
          </cell>
          <cell r="I205">
            <v>-5769774.1799999997</v>
          </cell>
          <cell r="J205">
            <v>-204153.93</v>
          </cell>
          <cell r="K205">
            <v>-13442.69</v>
          </cell>
          <cell r="L205">
            <v>0</v>
          </cell>
        </row>
        <row r="206">
          <cell r="A206">
            <v>1</v>
          </cell>
          <cell r="B206">
            <v>1</v>
          </cell>
          <cell r="C206">
            <v>808</v>
          </cell>
          <cell r="D206" t="str">
            <v xml:space="preserve">  </v>
          </cell>
          <cell r="E206" t="str">
            <v xml:space="preserve">    </v>
          </cell>
          <cell r="F206" t="str">
            <v xml:space="preserve">   </v>
          </cell>
          <cell r="G206">
            <v>11808</v>
          </cell>
          <cell r="H206">
            <v>1246437.76</v>
          </cell>
          <cell r="I206">
            <v>1246437.76</v>
          </cell>
          <cell r="J206">
            <v>0</v>
          </cell>
          <cell r="K206">
            <v>0</v>
          </cell>
          <cell r="L206">
            <v>0</v>
          </cell>
        </row>
        <row r="207">
          <cell r="A207">
            <v>2</v>
          </cell>
          <cell r="B207">
            <v>1</v>
          </cell>
          <cell r="C207">
            <v>808</v>
          </cell>
          <cell r="D207" t="str">
            <v xml:space="preserve">  </v>
          </cell>
          <cell r="E207" t="str">
            <v xml:space="preserve">    </v>
          </cell>
          <cell r="F207" t="str">
            <v xml:space="preserve">   </v>
          </cell>
          <cell r="G207">
            <v>21808</v>
          </cell>
          <cell r="H207">
            <v>-1445155.65</v>
          </cell>
          <cell r="I207">
            <v>-1445155.65</v>
          </cell>
          <cell r="J207">
            <v>0</v>
          </cell>
          <cell r="K207">
            <v>0</v>
          </cell>
          <cell r="L207">
            <v>0</v>
          </cell>
        </row>
        <row r="208">
          <cell r="A208">
            <v>1</v>
          </cell>
          <cell r="B208">
            <v>1</v>
          </cell>
          <cell r="C208">
            <v>814</v>
          </cell>
          <cell r="D208" t="str">
            <v xml:space="preserve">  </v>
          </cell>
          <cell r="E208" t="str">
            <v xml:space="preserve">    </v>
          </cell>
          <cell r="F208" t="str">
            <v xml:space="preserve">   </v>
          </cell>
          <cell r="G208">
            <v>11814</v>
          </cell>
          <cell r="H208">
            <v>1729.62</v>
          </cell>
          <cell r="I208">
            <v>1729.62</v>
          </cell>
          <cell r="J208">
            <v>0</v>
          </cell>
          <cell r="K208">
            <v>0</v>
          </cell>
          <cell r="L208">
            <v>0</v>
          </cell>
        </row>
        <row r="209">
          <cell r="A209">
            <v>2</v>
          </cell>
          <cell r="B209">
            <v>1</v>
          </cell>
          <cell r="C209">
            <v>814</v>
          </cell>
          <cell r="D209" t="str">
            <v xml:space="preserve">  </v>
          </cell>
          <cell r="E209" t="str">
            <v xml:space="preserve">    </v>
          </cell>
          <cell r="F209" t="str">
            <v xml:space="preserve">   </v>
          </cell>
          <cell r="G209">
            <v>21814</v>
          </cell>
          <cell r="H209">
            <v>87762.14</v>
          </cell>
          <cell r="I209">
            <v>87762.14</v>
          </cell>
          <cell r="J209">
            <v>0</v>
          </cell>
          <cell r="K209">
            <v>0</v>
          </cell>
          <cell r="L209">
            <v>0</v>
          </cell>
        </row>
        <row r="210">
          <cell r="A210">
            <v>1</v>
          </cell>
          <cell r="B210">
            <v>1</v>
          </cell>
          <cell r="C210">
            <v>815</v>
          </cell>
          <cell r="D210" t="str">
            <v xml:space="preserve">  </v>
          </cell>
          <cell r="E210" t="str">
            <v xml:space="preserve">    </v>
          </cell>
          <cell r="F210" t="str">
            <v xml:space="preserve">   </v>
          </cell>
          <cell r="G210">
            <v>11815</v>
          </cell>
          <cell r="H210">
            <v>0</v>
          </cell>
          <cell r="I210">
            <v>0</v>
          </cell>
          <cell r="J210">
            <v>0</v>
          </cell>
          <cell r="K210">
            <v>0</v>
          </cell>
          <cell r="L210">
            <v>0</v>
          </cell>
        </row>
        <row r="211">
          <cell r="A211">
            <v>2</v>
          </cell>
          <cell r="B211">
            <v>1</v>
          </cell>
          <cell r="C211">
            <v>815</v>
          </cell>
          <cell r="D211" t="str">
            <v xml:space="preserve">  </v>
          </cell>
          <cell r="E211" t="str">
            <v xml:space="preserve">    </v>
          </cell>
          <cell r="F211" t="str">
            <v xml:space="preserve">   </v>
          </cell>
          <cell r="G211">
            <v>21815</v>
          </cell>
          <cell r="H211">
            <v>312.66000000000003</v>
          </cell>
          <cell r="I211">
            <v>312.66000000000003</v>
          </cell>
          <cell r="J211">
            <v>0</v>
          </cell>
          <cell r="K211">
            <v>0</v>
          </cell>
          <cell r="L211">
            <v>0</v>
          </cell>
        </row>
        <row r="212">
          <cell r="A212">
            <v>1</v>
          </cell>
          <cell r="B212">
            <v>1</v>
          </cell>
          <cell r="C212">
            <v>816</v>
          </cell>
          <cell r="D212" t="str">
            <v xml:space="preserve">  </v>
          </cell>
          <cell r="E212" t="str">
            <v xml:space="preserve">    </v>
          </cell>
          <cell r="F212" t="str">
            <v xml:space="preserve">   </v>
          </cell>
          <cell r="G212">
            <v>11816</v>
          </cell>
          <cell r="H212">
            <v>3415.74</v>
          </cell>
          <cell r="I212">
            <v>3415.74</v>
          </cell>
          <cell r="J212">
            <v>0</v>
          </cell>
          <cell r="K212">
            <v>0</v>
          </cell>
          <cell r="L212">
            <v>0</v>
          </cell>
        </row>
        <row r="213">
          <cell r="A213">
            <v>2</v>
          </cell>
          <cell r="B213">
            <v>1</v>
          </cell>
          <cell r="C213">
            <v>816</v>
          </cell>
          <cell r="D213" t="str">
            <v xml:space="preserve">  </v>
          </cell>
          <cell r="E213" t="str">
            <v xml:space="preserve">    </v>
          </cell>
          <cell r="F213" t="str">
            <v xml:space="preserve">   </v>
          </cell>
          <cell r="G213">
            <v>21816</v>
          </cell>
          <cell r="H213">
            <v>32100.85</v>
          </cell>
          <cell r="I213">
            <v>32100.85</v>
          </cell>
          <cell r="J213">
            <v>0</v>
          </cell>
          <cell r="K213">
            <v>0</v>
          </cell>
          <cell r="L213">
            <v>0</v>
          </cell>
        </row>
        <row r="214">
          <cell r="A214">
            <v>1</v>
          </cell>
          <cell r="B214">
            <v>1</v>
          </cell>
          <cell r="C214">
            <v>817</v>
          </cell>
          <cell r="D214" t="str">
            <v xml:space="preserve">  </v>
          </cell>
          <cell r="E214" t="str">
            <v xml:space="preserve">    </v>
          </cell>
          <cell r="F214" t="str">
            <v xml:space="preserve">   </v>
          </cell>
          <cell r="G214">
            <v>11817</v>
          </cell>
          <cell r="H214">
            <v>0</v>
          </cell>
          <cell r="I214">
            <v>0</v>
          </cell>
          <cell r="J214">
            <v>0</v>
          </cell>
          <cell r="K214">
            <v>0</v>
          </cell>
          <cell r="L214">
            <v>0</v>
          </cell>
        </row>
        <row r="215">
          <cell r="A215">
            <v>2</v>
          </cell>
          <cell r="B215">
            <v>1</v>
          </cell>
          <cell r="C215">
            <v>817</v>
          </cell>
          <cell r="D215" t="str">
            <v xml:space="preserve">  </v>
          </cell>
          <cell r="E215" t="str">
            <v xml:space="preserve">    </v>
          </cell>
          <cell r="F215" t="str">
            <v xml:space="preserve">   </v>
          </cell>
          <cell r="G215">
            <v>21817</v>
          </cell>
          <cell r="H215">
            <v>1159.18</v>
          </cell>
          <cell r="I215">
            <v>1159.18</v>
          </cell>
          <cell r="J215">
            <v>0</v>
          </cell>
          <cell r="K215">
            <v>0</v>
          </cell>
          <cell r="L215">
            <v>0</v>
          </cell>
        </row>
        <row r="216">
          <cell r="A216">
            <v>1</v>
          </cell>
          <cell r="B216">
            <v>1</v>
          </cell>
          <cell r="C216">
            <v>818</v>
          </cell>
          <cell r="D216" t="str">
            <v xml:space="preserve">  </v>
          </cell>
          <cell r="E216" t="str">
            <v xml:space="preserve">    </v>
          </cell>
          <cell r="F216" t="str">
            <v xml:space="preserve">   </v>
          </cell>
          <cell r="G216">
            <v>11818</v>
          </cell>
          <cell r="H216">
            <v>7182.6</v>
          </cell>
          <cell r="I216">
            <v>7182.6</v>
          </cell>
          <cell r="J216">
            <v>0</v>
          </cell>
          <cell r="K216">
            <v>0</v>
          </cell>
          <cell r="L216">
            <v>0</v>
          </cell>
        </row>
        <row r="217">
          <cell r="A217">
            <v>2</v>
          </cell>
          <cell r="B217">
            <v>1</v>
          </cell>
          <cell r="C217">
            <v>818</v>
          </cell>
          <cell r="D217" t="str">
            <v xml:space="preserve">  </v>
          </cell>
          <cell r="E217" t="str">
            <v xml:space="preserve">    </v>
          </cell>
          <cell r="F217" t="str">
            <v xml:space="preserve">   </v>
          </cell>
          <cell r="G217">
            <v>21818</v>
          </cell>
          <cell r="H217">
            <v>64960.43</v>
          </cell>
          <cell r="I217">
            <v>64960.43</v>
          </cell>
          <cell r="J217">
            <v>0</v>
          </cell>
          <cell r="K217">
            <v>0</v>
          </cell>
          <cell r="L217">
            <v>0</v>
          </cell>
        </row>
        <row r="218">
          <cell r="A218">
            <v>1</v>
          </cell>
          <cell r="B218">
            <v>1</v>
          </cell>
          <cell r="C218">
            <v>819</v>
          </cell>
          <cell r="D218" t="str">
            <v xml:space="preserve">  </v>
          </cell>
          <cell r="E218" t="str">
            <v xml:space="preserve">    </v>
          </cell>
          <cell r="F218" t="str">
            <v xml:space="preserve">   </v>
          </cell>
          <cell r="G218">
            <v>11819</v>
          </cell>
          <cell r="H218">
            <v>442.93</v>
          </cell>
          <cell r="I218">
            <v>442.93</v>
          </cell>
          <cell r="J218">
            <v>0</v>
          </cell>
          <cell r="K218">
            <v>0</v>
          </cell>
          <cell r="L218">
            <v>0</v>
          </cell>
        </row>
        <row r="219">
          <cell r="A219">
            <v>2</v>
          </cell>
          <cell r="B219">
            <v>1</v>
          </cell>
          <cell r="C219">
            <v>819</v>
          </cell>
          <cell r="D219" t="str">
            <v xml:space="preserve">  </v>
          </cell>
          <cell r="E219" t="str">
            <v xml:space="preserve">    </v>
          </cell>
          <cell r="F219" t="str">
            <v xml:space="preserve">   </v>
          </cell>
          <cell r="G219">
            <v>21819</v>
          </cell>
          <cell r="H219">
            <v>6123.74</v>
          </cell>
          <cell r="I219">
            <v>6123.74</v>
          </cell>
          <cell r="J219">
            <v>0</v>
          </cell>
          <cell r="K219">
            <v>0</v>
          </cell>
          <cell r="L219">
            <v>0</v>
          </cell>
        </row>
        <row r="220">
          <cell r="A220">
            <v>1</v>
          </cell>
          <cell r="B220">
            <v>1</v>
          </cell>
          <cell r="C220">
            <v>820</v>
          </cell>
          <cell r="D220" t="str">
            <v xml:space="preserve">  </v>
          </cell>
          <cell r="E220" t="str">
            <v xml:space="preserve">    </v>
          </cell>
          <cell r="F220" t="str">
            <v xml:space="preserve">   </v>
          </cell>
          <cell r="G220">
            <v>11820</v>
          </cell>
          <cell r="H220">
            <v>2425.87</v>
          </cell>
          <cell r="I220">
            <v>2425.87</v>
          </cell>
          <cell r="J220">
            <v>0</v>
          </cell>
          <cell r="K220">
            <v>0</v>
          </cell>
          <cell r="L220">
            <v>0</v>
          </cell>
        </row>
        <row r="221">
          <cell r="A221">
            <v>2</v>
          </cell>
          <cell r="B221">
            <v>1</v>
          </cell>
          <cell r="C221">
            <v>820</v>
          </cell>
          <cell r="D221" t="str">
            <v xml:space="preserve">  </v>
          </cell>
          <cell r="E221" t="str">
            <v xml:space="preserve">    </v>
          </cell>
          <cell r="F221" t="str">
            <v xml:space="preserve">   </v>
          </cell>
          <cell r="G221">
            <v>21820</v>
          </cell>
          <cell r="H221">
            <v>24811.69</v>
          </cell>
          <cell r="I221">
            <v>24811.69</v>
          </cell>
          <cell r="J221">
            <v>0</v>
          </cell>
          <cell r="K221">
            <v>0</v>
          </cell>
          <cell r="L221">
            <v>0</v>
          </cell>
        </row>
        <row r="222">
          <cell r="A222">
            <v>1</v>
          </cell>
          <cell r="B222">
            <v>1</v>
          </cell>
          <cell r="C222">
            <v>821</v>
          </cell>
          <cell r="D222" t="str">
            <v xml:space="preserve">  </v>
          </cell>
          <cell r="E222" t="str">
            <v xml:space="preserve">    </v>
          </cell>
          <cell r="F222" t="str">
            <v xml:space="preserve">   </v>
          </cell>
          <cell r="G222">
            <v>11821</v>
          </cell>
          <cell r="H222">
            <v>860.79</v>
          </cell>
          <cell r="I222">
            <v>860.79</v>
          </cell>
          <cell r="J222">
            <v>0</v>
          </cell>
          <cell r="K222">
            <v>0</v>
          </cell>
          <cell r="L222">
            <v>0</v>
          </cell>
        </row>
        <row r="223">
          <cell r="A223">
            <v>2</v>
          </cell>
          <cell r="B223">
            <v>1</v>
          </cell>
          <cell r="C223">
            <v>821</v>
          </cell>
          <cell r="D223" t="str">
            <v xml:space="preserve">  </v>
          </cell>
          <cell r="E223" t="str">
            <v xml:space="preserve">    </v>
          </cell>
          <cell r="F223" t="str">
            <v xml:space="preserve">   </v>
          </cell>
          <cell r="G223">
            <v>21821</v>
          </cell>
          <cell r="H223">
            <v>6906.25</v>
          </cell>
          <cell r="I223">
            <v>6906.25</v>
          </cell>
          <cell r="J223">
            <v>0</v>
          </cell>
          <cell r="K223">
            <v>0</v>
          </cell>
          <cell r="L223">
            <v>0</v>
          </cell>
        </row>
        <row r="224">
          <cell r="A224">
            <v>1</v>
          </cell>
          <cell r="B224">
            <v>1</v>
          </cell>
          <cell r="C224">
            <v>824</v>
          </cell>
          <cell r="D224" t="str">
            <v xml:space="preserve">  </v>
          </cell>
          <cell r="E224" t="str">
            <v xml:space="preserve">    </v>
          </cell>
          <cell r="F224" t="str">
            <v xml:space="preserve">   </v>
          </cell>
          <cell r="G224">
            <v>11824</v>
          </cell>
          <cell r="H224">
            <v>1398.39</v>
          </cell>
          <cell r="I224">
            <v>1398.39</v>
          </cell>
          <cell r="J224">
            <v>0</v>
          </cell>
          <cell r="K224">
            <v>0</v>
          </cell>
          <cell r="L224">
            <v>0</v>
          </cell>
        </row>
        <row r="225">
          <cell r="A225">
            <v>2</v>
          </cell>
          <cell r="B225">
            <v>1</v>
          </cell>
          <cell r="C225">
            <v>824</v>
          </cell>
          <cell r="D225" t="str">
            <v xml:space="preserve">  </v>
          </cell>
          <cell r="E225" t="str">
            <v xml:space="preserve">    </v>
          </cell>
          <cell r="F225" t="str">
            <v xml:space="preserve">   </v>
          </cell>
          <cell r="G225">
            <v>21824</v>
          </cell>
          <cell r="H225">
            <v>20034.689999999999</v>
          </cell>
          <cell r="I225">
            <v>20034.689999999999</v>
          </cell>
          <cell r="J225">
            <v>0</v>
          </cell>
          <cell r="K225">
            <v>0</v>
          </cell>
          <cell r="L225">
            <v>0</v>
          </cell>
        </row>
        <row r="226">
          <cell r="A226">
            <v>1</v>
          </cell>
          <cell r="B226">
            <v>1</v>
          </cell>
          <cell r="C226">
            <v>825</v>
          </cell>
          <cell r="D226" t="str">
            <v xml:space="preserve">  </v>
          </cell>
          <cell r="E226" t="str">
            <v xml:space="preserve">    </v>
          </cell>
          <cell r="F226" t="str">
            <v xml:space="preserve">   </v>
          </cell>
          <cell r="G226">
            <v>11825</v>
          </cell>
          <cell r="H226">
            <v>26.13</v>
          </cell>
          <cell r="I226">
            <v>26.13</v>
          </cell>
          <cell r="J226">
            <v>0</v>
          </cell>
          <cell r="K226">
            <v>0</v>
          </cell>
          <cell r="L226">
            <v>0</v>
          </cell>
        </row>
        <row r="227">
          <cell r="A227">
            <v>2</v>
          </cell>
          <cell r="B227">
            <v>1</v>
          </cell>
          <cell r="C227">
            <v>825</v>
          </cell>
          <cell r="D227" t="str">
            <v xml:space="preserve">  </v>
          </cell>
          <cell r="E227" t="str">
            <v xml:space="preserve">    </v>
          </cell>
          <cell r="F227" t="str">
            <v xml:space="preserve">   </v>
          </cell>
          <cell r="G227">
            <v>21825</v>
          </cell>
          <cell r="H227">
            <v>42062.37</v>
          </cell>
          <cell r="I227">
            <v>42062.37</v>
          </cell>
          <cell r="J227">
            <v>0</v>
          </cell>
          <cell r="K227">
            <v>0</v>
          </cell>
          <cell r="L227">
            <v>0</v>
          </cell>
        </row>
        <row r="228">
          <cell r="A228">
            <v>1</v>
          </cell>
          <cell r="B228">
            <v>1</v>
          </cell>
          <cell r="C228">
            <v>826</v>
          </cell>
          <cell r="D228" t="str">
            <v xml:space="preserve">  </v>
          </cell>
          <cell r="E228" t="str">
            <v xml:space="preserve">    </v>
          </cell>
          <cell r="F228" t="str">
            <v xml:space="preserve">   </v>
          </cell>
          <cell r="G228">
            <v>11826</v>
          </cell>
          <cell r="H228">
            <v>-106.66</v>
          </cell>
          <cell r="I228">
            <v>-106.66</v>
          </cell>
          <cell r="J228">
            <v>0</v>
          </cell>
          <cell r="K228">
            <v>0</v>
          </cell>
          <cell r="L228">
            <v>0</v>
          </cell>
        </row>
        <row r="229">
          <cell r="A229">
            <v>2</v>
          </cell>
          <cell r="B229">
            <v>1</v>
          </cell>
          <cell r="C229">
            <v>826</v>
          </cell>
          <cell r="D229" t="str">
            <v xml:space="preserve">  </v>
          </cell>
          <cell r="E229" t="str">
            <v xml:space="preserve">    </v>
          </cell>
          <cell r="F229" t="str">
            <v xml:space="preserve">   </v>
          </cell>
          <cell r="G229">
            <v>21826</v>
          </cell>
          <cell r="H229">
            <v>-2489.48</v>
          </cell>
          <cell r="I229">
            <v>-2489.48</v>
          </cell>
          <cell r="J229">
            <v>0</v>
          </cell>
          <cell r="K229">
            <v>0</v>
          </cell>
          <cell r="L229">
            <v>0</v>
          </cell>
        </row>
        <row r="230">
          <cell r="A230">
            <v>1</v>
          </cell>
          <cell r="B230">
            <v>1</v>
          </cell>
          <cell r="C230">
            <v>830</v>
          </cell>
          <cell r="D230" t="str">
            <v xml:space="preserve">  </v>
          </cell>
          <cell r="E230" t="str">
            <v xml:space="preserve">    </v>
          </cell>
          <cell r="F230" t="str">
            <v xml:space="preserve">   </v>
          </cell>
          <cell r="G230">
            <v>11830</v>
          </cell>
          <cell r="H230">
            <v>167.63</v>
          </cell>
          <cell r="I230">
            <v>167.63</v>
          </cell>
          <cell r="J230">
            <v>0</v>
          </cell>
          <cell r="K230">
            <v>0</v>
          </cell>
          <cell r="L230">
            <v>0</v>
          </cell>
        </row>
        <row r="231">
          <cell r="A231">
            <v>2</v>
          </cell>
          <cell r="B231">
            <v>1</v>
          </cell>
          <cell r="C231">
            <v>830</v>
          </cell>
          <cell r="D231" t="str">
            <v xml:space="preserve">  </v>
          </cell>
          <cell r="E231" t="str">
            <v xml:space="preserve">    </v>
          </cell>
          <cell r="F231" t="str">
            <v xml:space="preserve">   </v>
          </cell>
          <cell r="G231">
            <v>21830</v>
          </cell>
          <cell r="H231">
            <v>49444.6</v>
          </cell>
          <cell r="I231">
            <v>49444.6</v>
          </cell>
          <cell r="J231">
            <v>0</v>
          </cell>
          <cell r="K231">
            <v>0</v>
          </cell>
          <cell r="L231">
            <v>0</v>
          </cell>
        </row>
        <row r="232">
          <cell r="A232">
            <v>1</v>
          </cell>
          <cell r="B232">
            <v>1</v>
          </cell>
          <cell r="C232">
            <v>831</v>
          </cell>
          <cell r="D232" t="str">
            <v xml:space="preserve">  </v>
          </cell>
          <cell r="E232" t="str">
            <v xml:space="preserve">    </v>
          </cell>
          <cell r="F232" t="str">
            <v xml:space="preserve">   </v>
          </cell>
          <cell r="G232">
            <v>11831</v>
          </cell>
          <cell r="H232">
            <v>39.130000000000003</v>
          </cell>
          <cell r="I232">
            <v>39.130000000000003</v>
          </cell>
          <cell r="J232">
            <v>0</v>
          </cell>
          <cell r="K232">
            <v>0</v>
          </cell>
          <cell r="L232">
            <v>0</v>
          </cell>
        </row>
        <row r="233">
          <cell r="A233">
            <v>2</v>
          </cell>
          <cell r="B233">
            <v>1</v>
          </cell>
          <cell r="C233">
            <v>831</v>
          </cell>
          <cell r="D233" t="str">
            <v xml:space="preserve">  </v>
          </cell>
          <cell r="E233" t="str">
            <v xml:space="preserve">    </v>
          </cell>
          <cell r="F233" t="str">
            <v xml:space="preserve">   </v>
          </cell>
          <cell r="G233">
            <v>21831</v>
          </cell>
          <cell r="H233">
            <v>7710.93</v>
          </cell>
          <cell r="I233">
            <v>7710.93</v>
          </cell>
          <cell r="J233">
            <v>0</v>
          </cell>
          <cell r="K233">
            <v>0</v>
          </cell>
          <cell r="L233">
            <v>0</v>
          </cell>
        </row>
        <row r="234">
          <cell r="A234">
            <v>1</v>
          </cell>
          <cell r="B234">
            <v>1</v>
          </cell>
          <cell r="C234">
            <v>832</v>
          </cell>
          <cell r="D234" t="str">
            <v xml:space="preserve">  </v>
          </cell>
          <cell r="E234" t="str">
            <v xml:space="preserve">    </v>
          </cell>
          <cell r="F234" t="str">
            <v xml:space="preserve">   </v>
          </cell>
          <cell r="G234">
            <v>11832</v>
          </cell>
          <cell r="H234">
            <v>3100.8</v>
          </cell>
          <cell r="I234">
            <v>3100.8</v>
          </cell>
          <cell r="J234">
            <v>0</v>
          </cell>
          <cell r="K234">
            <v>0</v>
          </cell>
          <cell r="L234">
            <v>0</v>
          </cell>
        </row>
        <row r="235">
          <cell r="A235">
            <v>2</v>
          </cell>
          <cell r="B235">
            <v>1</v>
          </cell>
          <cell r="C235">
            <v>832</v>
          </cell>
          <cell r="D235" t="str">
            <v xml:space="preserve">  </v>
          </cell>
          <cell r="E235" t="str">
            <v xml:space="preserve">    </v>
          </cell>
          <cell r="F235" t="str">
            <v xml:space="preserve">   </v>
          </cell>
          <cell r="G235">
            <v>21832</v>
          </cell>
          <cell r="H235">
            <v>20776.46</v>
          </cell>
          <cell r="I235">
            <v>20776.46</v>
          </cell>
          <cell r="J235">
            <v>0</v>
          </cell>
          <cell r="K235">
            <v>0</v>
          </cell>
          <cell r="L235">
            <v>0</v>
          </cell>
        </row>
        <row r="236">
          <cell r="A236">
            <v>1</v>
          </cell>
          <cell r="B236">
            <v>1</v>
          </cell>
          <cell r="C236">
            <v>833</v>
          </cell>
          <cell r="D236" t="str">
            <v xml:space="preserve">  </v>
          </cell>
          <cell r="E236" t="str">
            <v xml:space="preserve">    </v>
          </cell>
          <cell r="F236" t="str">
            <v xml:space="preserve">   </v>
          </cell>
          <cell r="G236">
            <v>11833</v>
          </cell>
          <cell r="H236">
            <v>841.23</v>
          </cell>
          <cell r="I236">
            <v>841.23</v>
          </cell>
          <cell r="J236">
            <v>0</v>
          </cell>
          <cell r="K236">
            <v>0</v>
          </cell>
          <cell r="L236">
            <v>0</v>
          </cell>
        </row>
        <row r="237">
          <cell r="A237">
            <v>2</v>
          </cell>
          <cell r="B237">
            <v>1</v>
          </cell>
          <cell r="C237">
            <v>833</v>
          </cell>
          <cell r="D237" t="str">
            <v xml:space="preserve">  </v>
          </cell>
          <cell r="E237" t="str">
            <v xml:space="preserve">    </v>
          </cell>
          <cell r="F237" t="str">
            <v xml:space="preserve">   </v>
          </cell>
          <cell r="G237">
            <v>21833</v>
          </cell>
          <cell r="H237">
            <v>4874.54</v>
          </cell>
          <cell r="I237">
            <v>4874.54</v>
          </cell>
          <cell r="J237">
            <v>0</v>
          </cell>
          <cell r="K237">
            <v>0</v>
          </cell>
          <cell r="L237">
            <v>0</v>
          </cell>
        </row>
        <row r="238">
          <cell r="A238">
            <v>1</v>
          </cell>
          <cell r="B238">
            <v>1</v>
          </cell>
          <cell r="C238">
            <v>834</v>
          </cell>
          <cell r="D238" t="str">
            <v xml:space="preserve">  </v>
          </cell>
          <cell r="E238" t="str">
            <v xml:space="preserve">    </v>
          </cell>
          <cell r="F238" t="str">
            <v xml:space="preserve">   </v>
          </cell>
          <cell r="G238">
            <v>11834</v>
          </cell>
          <cell r="H238">
            <v>2965.05</v>
          </cell>
          <cell r="I238">
            <v>2965.05</v>
          </cell>
          <cell r="J238">
            <v>0</v>
          </cell>
          <cell r="K238">
            <v>0</v>
          </cell>
          <cell r="L238">
            <v>0</v>
          </cell>
        </row>
        <row r="239">
          <cell r="A239">
            <v>2</v>
          </cell>
          <cell r="B239">
            <v>1</v>
          </cell>
          <cell r="C239">
            <v>834</v>
          </cell>
          <cell r="D239" t="str">
            <v xml:space="preserve">  </v>
          </cell>
          <cell r="E239" t="str">
            <v xml:space="preserve">    </v>
          </cell>
          <cell r="F239" t="str">
            <v xml:space="preserve">   </v>
          </cell>
          <cell r="G239">
            <v>21834</v>
          </cell>
          <cell r="H239">
            <v>33228.81</v>
          </cell>
          <cell r="I239">
            <v>33228.81</v>
          </cell>
          <cell r="J239">
            <v>0</v>
          </cell>
          <cell r="K239">
            <v>0</v>
          </cell>
          <cell r="L239">
            <v>0</v>
          </cell>
        </row>
        <row r="240">
          <cell r="A240">
            <v>1</v>
          </cell>
          <cell r="B240">
            <v>1</v>
          </cell>
          <cell r="C240">
            <v>836</v>
          </cell>
          <cell r="D240" t="str">
            <v xml:space="preserve">  </v>
          </cell>
          <cell r="E240" t="str">
            <v xml:space="preserve">    </v>
          </cell>
          <cell r="F240" t="str">
            <v xml:space="preserve">   </v>
          </cell>
          <cell r="G240">
            <v>11836</v>
          </cell>
          <cell r="H240">
            <v>3325.76</v>
          </cell>
          <cell r="I240">
            <v>3325.76</v>
          </cell>
          <cell r="J240">
            <v>0</v>
          </cell>
          <cell r="K240">
            <v>0</v>
          </cell>
          <cell r="L240">
            <v>0</v>
          </cell>
        </row>
        <row r="241">
          <cell r="A241">
            <v>2</v>
          </cell>
          <cell r="B241">
            <v>1</v>
          </cell>
          <cell r="C241">
            <v>836</v>
          </cell>
          <cell r="D241" t="str">
            <v xml:space="preserve">  </v>
          </cell>
          <cell r="E241" t="str">
            <v xml:space="preserve">    </v>
          </cell>
          <cell r="F241" t="str">
            <v xml:space="preserve">   </v>
          </cell>
          <cell r="G241">
            <v>21836</v>
          </cell>
          <cell r="H241">
            <v>22795.42</v>
          </cell>
          <cell r="I241">
            <v>22795.42</v>
          </cell>
          <cell r="J241">
            <v>0</v>
          </cell>
          <cell r="K241">
            <v>0</v>
          </cell>
          <cell r="L241">
            <v>0</v>
          </cell>
        </row>
        <row r="242">
          <cell r="A242">
            <v>1</v>
          </cell>
          <cell r="B242">
            <v>1</v>
          </cell>
          <cell r="C242">
            <v>837</v>
          </cell>
          <cell r="D242" t="str">
            <v xml:space="preserve">  </v>
          </cell>
          <cell r="E242" t="str">
            <v xml:space="preserve">    </v>
          </cell>
          <cell r="F242" t="str">
            <v xml:space="preserve">   </v>
          </cell>
          <cell r="G242">
            <v>11837</v>
          </cell>
          <cell r="H242">
            <v>743.41</v>
          </cell>
          <cell r="I242">
            <v>743.41</v>
          </cell>
          <cell r="J242">
            <v>0</v>
          </cell>
          <cell r="K242">
            <v>0</v>
          </cell>
          <cell r="L242">
            <v>0</v>
          </cell>
        </row>
        <row r="243">
          <cell r="A243">
            <v>2</v>
          </cell>
          <cell r="B243">
            <v>1</v>
          </cell>
          <cell r="C243">
            <v>837</v>
          </cell>
          <cell r="D243" t="str">
            <v xml:space="preserve">  </v>
          </cell>
          <cell r="E243" t="str">
            <v xml:space="preserve">    </v>
          </cell>
          <cell r="F243" t="str">
            <v xml:space="preserve">   </v>
          </cell>
          <cell r="G243">
            <v>21837</v>
          </cell>
          <cell r="H243">
            <v>7191.02</v>
          </cell>
          <cell r="I243">
            <v>7191.02</v>
          </cell>
          <cell r="J243">
            <v>0</v>
          </cell>
          <cell r="K243">
            <v>0</v>
          </cell>
          <cell r="L243">
            <v>0</v>
          </cell>
        </row>
        <row r="244">
          <cell r="A244">
            <v>1</v>
          </cell>
          <cell r="B244">
            <v>1</v>
          </cell>
          <cell r="C244">
            <v>870</v>
          </cell>
          <cell r="D244" t="str">
            <v xml:space="preserve">  </v>
          </cell>
          <cell r="E244" t="str">
            <v xml:space="preserve">    </v>
          </cell>
          <cell r="F244" t="str">
            <v xml:space="preserve">   </v>
          </cell>
          <cell r="G244">
            <v>11870</v>
          </cell>
          <cell r="H244">
            <v>25346.39</v>
          </cell>
          <cell r="I244">
            <v>18113.150000000001</v>
          </cell>
          <cell r="J244">
            <v>5740.85</v>
          </cell>
          <cell r="K244">
            <v>1492.39</v>
          </cell>
          <cell r="L244">
            <v>0</v>
          </cell>
        </row>
        <row r="245">
          <cell r="A245">
            <v>2</v>
          </cell>
          <cell r="B245">
            <v>1</v>
          </cell>
          <cell r="C245">
            <v>870</v>
          </cell>
          <cell r="D245" t="str">
            <v xml:space="preserve">  </v>
          </cell>
          <cell r="E245" t="str">
            <v xml:space="preserve">    </v>
          </cell>
          <cell r="F245" t="str">
            <v xml:space="preserve">   </v>
          </cell>
          <cell r="G245">
            <v>21870</v>
          </cell>
          <cell r="H245">
            <v>252553.96</v>
          </cell>
          <cell r="I245">
            <v>193050.73</v>
          </cell>
          <cell r="J245">
            <v>37104.15</v>
          </cell>
          <cell r="K245">
            <v>22399.08</v>
          </cell>
          <cell r="L245">
            <v>0</v>
          </cell>
        </row>
        <row r="246">
          <cell r="A246">
            <v>1</v>
          </cell>
          <cell r="B246">
            <v>1</v>
          </cell>
          <cell r="C246">
            <v>871</v>
          </cell>
          <cell r="D246" t="str">
            <v xml:space="preserve">  </v>
          </cell>
          <cell r="E246" t="str">
            <v xml:space="preserve">    </v>
          </cell>
          <cell r="F246" t="str">
            <v xml:space="preserve">   </v>
          </cell>
          <cell r="G246">
            <v>11871</v>
          </cell>
          <cell r="H246">
            <v>1509.28</v>
          </cell>
          <cell r="I246">
            <v>74.239999999999995</v>
          </cell>
          <cell r="J246">
            <v>460.03</v>
          </cell>
          <cell r="K246">
            <v>975.01</v>
          </cell>
          <cell r="L246">
            <v>0</v>
          </cell>
        </row>
        <row r="247">
          <cell r="A247">
            <v>2</v>
          </cell>
          <cell r="B247">
            <v>1</v>
          </cell>
          <cell r="C247">
            <v>871</v>
          </cell>
          <cell r="D247" t="str">
            <v xml:space="preserve">  </v>
          </cell>
          <cell r="E247" t="str">
            <v xml:space="preserve">    </v>
          </cell>
          <cell r="F247" t="str">
            <v xml:space="preserve">   </v>
          </cell>
          <cell r="G247">
            <v>21871</v>
          </cell>
          <cell r="H247">
            <v>31616.73</v>
          </cell>
          <cell r="I247">
            <v>4581.5200000000004</v>
          </cell>
          <cell r="J247">
            <v>17569.22</v>
          </cell>
          <cell r="K247">
            <v>9465.99</v>
          </cell>
          <cell r="L247">
            <v>0</v>
          </cell>
        </row>
        <row r="248">
          <cell r="A248">
            <v>1</v>
          </cell>
          <cell r="B248">
            <v>1</v>
          </cell>
          <cell r="C248">
            <v>874</v>
          </cell>
          <cell r="D248" t="str">
            <v xml:space="preserve">  </v>
          </cell>
          <cell r="E248" t="str">
            <v xml:space="preserve">    </v>
          </cell>
          <cell r="F248" t="str">
            <v xml:space="preserve">   </v>
          </cell>
          <cell r="G248">
            <v>11874</v>
          </cell>
          <cell r="H248">
            <v>94829.66</v>
          </cell>
          <cell r="I248">
            <v>5066.24</v>
          </cell>
          <cell r="J248">
            <v>64580.65</v>
          </cell>
          <cell r="K248">
            <v>25182.77</v>
          </cell>
          <cell r="L248">
            <v>0</v>
          </cell>
        </row>
        <row r="249">
          <cell r="A249">
            <v>2</v>
          </cell>
          <cell r="B249">
            <v>1</v>
          </cell>
          <cell r="C249">
            <v>874</v>
          </cell>
          <cell r="D249" t="str">
            <v xml:space="preserve">  </v>
          </cell>
          <cell r="E249" t="str">
            <v xml:space="preserve">    </v>
          </cell>
          <cell r="F249" t="str">
            <v xml:space="preserve">   </v>
          </cell>
          <cell r="G249">
            <v>21874</v>
          </cell>
          <cell r="H249">
            <v>1256366.45</v>
          </cell>
          <cell r="I249">
            <v>125780.5</v>
          </cell>
          <cell r="J249">
            <v>786318.56</v>
          </cell>
          <cell r="K249">
            <v>344267.39</v>
          </cell>
          <cell r="L249">
            <v>0</v>
          </cell>
        </row>
        <row r="250">
          <cell r="A250">
            <v>1</v>
          </cell>
          <cell r="B250">
            <v>1</v>
          </cell>
          <cell r="C250">
            <v>875</v>
          </cell>
          <cell r="D250" t="str">
            <v xml:space="preserve">  </v>
          </cell>
          <cell r="E250" t="str">
            <v xml:space="preserve">    </v>
          </cell>
          <cell r="F250" t="str">
            <v xml:space="preserve">   </v>
          </cell>
          <cell r="G250">
            <v>11875</v>
          </cell>
          <cell r="H250">
            <v>4690.7</v>
          </cell>
          <cell r="I250">
            <v>0</v>
          </cell>
          <cell r="J250">
            <v>1488.34</v>
          </cell>
          <cell r="K250">
            <v>3202.36</v>
          </cell>
          <cell r="L250">
            <v>0</v>
          </cell>
        </row>
        <row r="251">
          <cell r="A251">
            <v>2</v>
          </cell>
          <cell r="B251">
            <v>1</v>
          </cell>
          <cell r="C251">
            <v>875</v>
          </cell>
          <cell r="D251" t="str">
            <v xml:space="preserve">  </v>
          </cell>
          <cell r="E251" t="str">
            <v xml:space="preserve">    </v>
          </cell>
          <cell r="F251" t="str">
            <v xml:space="preserve">   </v>
          </cell>
          <cell r="G251">
            <v>21875</v>
          </cell>
          <cell r="H251">
            <v>42854.31</v>
          </cell>
          <cell r="I251">
            <v>174.59</v>
          </cell>
          <cell r="J251">
            <v>24676.35</v>
          </cell>
          <cell r="K251">
            <v>18003.37</v>
          </cell>
          <cell r="L251">
            <v>0</v>
          </cell>
        </row>
        <row r="252">
          <cell r="A252">
            <v>1</v>
          </cell>
          <cell r="B252">
            <v>1</v>
          </cell>
          <cell r="C252">
            <v>876</v>
          </cell>
          <cell r="D252" t="str">
            <v xml:space="preserve">  </v>
          </cell>
          <cell r="E252" t="str">
            <v xml:space="preserve">    </v>
          </cell>
          <cell r="F252" t="str">
            <v xml:space="preserve">   </v>
          </cell>
          <cell r="G252">
            <v>11876</v>
          </cell>
          <cell r="H252">
            <v>285.16000000000003</v>
          </cell>
          <cell r="I252">
            <v>0</v>
          </cell>
          <cell r="J252">
            <v>0</v>
          </cell>
          <cell r="K252">
            <v>285.16000000000003</v>
          </cell>
          <cell r="L252">
            <v>0</v>
          </cell>
        </row>
        <row r="253">
          <cell r="A253">
            <v>2</v>
          </cell>
          <cell r="B253">
            <v>1</v>
          </cell>
          <cell r="C253">
            <v>876</v>
          </cell>
          <cell r="D253" t="str">
            <v xml:space="preserve">  </v>
          </cell>
          <cell r="E253" t="str">
            <v xml:space="preserve">    </v>
          </cell>
          <cell r="F253" t="str">
            <v xml:space="preserve">   </v>
          </cell>
          <cell r="G253">
            <v>21876</v>
          </cell>
          <cell r="H253">
            <v>3711.74</v>
          </cell>
          <cell r="I253">
            <v>0</v>
          </cell>
          <cell r="J253">
            <v>1410.41</v>
          </cell>
          <cell r="K253">
            <v>2301.33</v>
          </cell>
          <cell r="L253">
            <v>0</v>
          </cell>
        </row>
        <row r="254">
          <cell r="A254">
            <v>1</v>
          </cell>
          <cell r="B254">
            <v>1</v>
          </cell>
          <cell r="C254">
            <v>877</v>
          </cell>
          <cell r="D254" t="str">
            <v xml:space="preserve">  </v>
          </cell>
          <cell r="E254" t="str">
            <v xml:space="preserve">    </v>
          </cell>
          <cell r="F254" t="str">
            <v xml:space="preserve">   </v>
          </cell>
          <cell r="G254">
            <v>11877</v>
          </cell>
          <cell r="H254">
            <v>31993.31</v>
          </cell>
          <cell r="I254">
            <v>0</v>
          </cell>
          <cell r="J254">
            <v>24315.96</v>
          </cell>
          <cell r="K254">
            <v>7677.35</v>
          </cell>
          <cell r="L254">
            <v>0</v>
          </cell>
        </row>
        <row r="255">
          <cell r="A255">
            <v>2</v>
          </cell>
          <cell r="B255">
            <v>1</v>
          </cell>
          <cell r="C255">
            <v>877</v>
          </cell>
          <cell r="D255" t="str">
            <v xml:space="preserve">  </v>
          </cell>
          <cell r="E255" t="str">
            <v xml:space="preserve">    </v>
          </cell>
          <cell r="F255" t="str">
            <v xml:space="preserve">   </v>
          </cell>
          <cell r="G255">
            <v>21877</v>
          </cell>
          <cell r="H255">
            <v>111819.26</v>
          </cell>
          <cell r="I255">
            <v>0</v>
          </cell>
          <cell r="J255">
            <v>72535.61</v>
          </cell>
          <cell r="K255">
            <v>39283.65</v>
          </cell>
          <cell r="L255">
            <v>0</v>
          </cell>
        </row>
        <row r="256">
          <cell r="A256">
            <v>1</v>
          </cell>
          <cell r="B256">
            <v>1</v>
          </cell>
          <cell r="C256">
            <v>878</v>
          </cell>
          <cell r="D256" t="str">
            <v xml:space="preserve">  </v>
          </cell>
          <cell r="E256" t="str">
            <v xml:space="preserve">    </v>
          </cell>
          <cell r="F256" t="str">
            <v xml:space="preserve">   </v>
          </cell>
          <cell r="G256">
            <v>11878</v>
          </cell>
          <cell r="H256">
            <v>45774.61</v>
          </cell>
          <cell r="I256">
            <v>183.01</v>
          </cell>
          <cell r="J256">
            <v>38979.629999999997</v>
          </cell>
          <cell r="K256">
            <v>6611.97</v>
          </cell>
          <cell r="L256">
            <v>0</v>
          </cell>
        </row>
        <row r="257">
          <cell r="A257">
            <v>2</v>
          </cell>
          <cell r="B257">
            <v>1</v>
          </cell>
          <cell r="C257">
            <v>878</v>
          </cell>
          <cell r="D257" t="str">
            <v xml:space="preserve">  </v>
          </cell>
          <cell r="E257" t="str">
            <v xml:space="preserve">    </v>
          </cell>
          <cell r="F257" t="str">
            <v xml:space="preserve">   </v>
          </cell>
          <cell r="G257">
            <v>21878</v>
          </cell>
          <cell r="H257">
            <v>467477.95</v>
          </cell>
          <cell r="I257">
            <v>-656.99</v>
          </cell>
          <cell r="J257">
            <v>319132.08</v>
          </cell>
          <cell r="K257">
            <v>149002.85999999999</v>
          </cell>
          <cell r="L257">
            <v>0</v>
          </cell>
        </row>
        <row r="258">
          <cell r="A258">
            <v>1</v>
          </cell>
          <cell r="B258">
            <v>1</v>
          </cell>
          <cell r="C258">
            <v>879</v>
          </cell>
          <cell r="D258" t="str">
            <v xml:space="preserve">  </v>
          </cell>
          <cell r="E258" t="str">
            <v xml:space="preserve">    </v>
          </cell>
          <cell r="F258" t="str">
            <v xml:space="preserve">   </v>
          </cell>
          <cell r="G258">
            <v>11879</v>
          </cell>
          <cell r="H258">
            <v>117612.34</v>
          </cell>
          <cell r="I258">
            <v>14547.03</v>
          </cell>
          <cell r="J258">
            <v>62628.13</v>
          </cell>
          <cell r="K258">
            <v>40437.18</v>
          </cell>
          <cell r="L258">
            <v>0</v>
          </cell>
        </row>
        <row r="259">
          <cell r="A259">
            <v>2</v>
          </cell>
          <cell r="B259">
            <v>1</v>
          </cell>
          <cell r="C259">
            <v>879</v>
          </cell>
          <cell r="D259" t="str">
            <v xml:space="preserve">  </v>
          </cell>
          <cell r="E259" t="str">
            <v xml:space="preserve">    </v>
          </cell>
          <cell r="F259" t="str">
            <v xml:space="preserve">   </v>
          </cell>
          <cell r="G259">
            <v>21879</v>
          </cell>
          <cell r="H259">
            <v>1054068.8899999999</v>
          </cell>
          <cell r="I259">
            <v>180505.03</v>
          </cell>
          <cell r="J259">
            <v>534272.31000000006</v>
          </cell>
          <cell r="K259">
            <v>339291.55</v>
          </cell>
          <cell r="L259">
            <v>0</v>
          </cell>
        </row>
        <row r="260">
          <cell r="A260">
            <v>1</v>
          </cell>
          <cell r="B260">
            <v>1</v>
          </cell>
          <cell r="C260">
            <v>880</v>
          </cell>
          <cell r="D260" t="str">
            <v xml:space="preserve">  </v>
          </cell>
          <cell r="E260" t="str">
            <v xml:space="preserve">    </v>
          </cell>
          <cell r="F260" t="str">
            <v xml:space="preserve">   </v>
          </cell>
          <cell r="G260">
            <v>11880</v>
          </cell>
          <cell r="H260">
            <v>178789.51</v>
          </cell>
          <cell r="I260">
            <v>152681.39000000001</v>
          </cell>
          <cell r="J260">
            <v>19066.48</v>
          </cell>
          <cell r="K260">
            <v>7041.64</v>
          </cell>
          <cell r="L260">
            <v>0</v>
          </cell>
        </row>
        <row r="261">
          <cell r="A261">
            <v>2</v>
          </cell>
          <cell r="B261">
            <v>1</v>
          </cell>
          <cell r="C261">
            <v>880</v>
          </cell>
          <cell r="D261" t="str">
            <v xml:space="preserve">  </v>
          </cell>
          <cell r="E261" t="str">
            <v xml:space="preserve">    </v>
          </cell>
          <cell r="F261" t="str">
            <v xml:space="preserve">   </v>
          </cell>
          <cell r="G261">
            <v>21880</v>
          </cell>
          <cell r="H261">
            <v>581985.51</v>
          </cell>
          <cell r="I261">
            <v>212874.48</v>
          </cell>
          <cell r="J261">
            <v>287386.84999999998</v>
          </cell>
          <cell r="K261">
            <v>81724.179999999993</v>
          </cell>
          <cell r="L261">
            <v>0</v>
          </cell>
        </row>
        <row r="262">
          <cell r="A262">
            <v>1</v>
          </cell>
          <cell r="B262">
            <v>1</v>
          </cell>
          <cell r="C262">
            <v>881</v>
          </cell>
          <cell r="D262" t="str">
            <v xml:space="preserve">  </v>
          </cell>
          <cell r="E262" t="str">
            <v xml:space="preserve">    </v>
          </cell>
          <cell r="F262" t="str">
            <v xml:space="preserve">   </v>
          </cell>
          <cell r="G262">
            <v>11881</v>
          </cell>
          <cell r="H262">
            <v>441.79</v>
          </cell>
          <cell r="I262">
            <v>0</v>
          </cell>
          <cell r="J262">
            <v>393.24</v>
          </cell>
          <cell r="K262">
            <v>48.55</v>
          </cell>
          <cell r="L262">
            <v>0</v>
          </cell>
        </row>
        <row r="263">
          <cell r="A263">
            <v>2</v>
          </cell>
          <cell r="B263">
            <v>1</v>
          </cell>
          <cell r="C263">
            <v>881</v>
          </cell>
          <cell r="D263" t="str">
            <v xml:space="preserve">  </v>
          </cell>
          <cell r="E263" t="str">
            <v xml:space="preserve">    </v>
          </cell>
          <cell r="F263" t="str">
            <v xml:space="preserve">   </v>
          </cell>
          <cell r="G263">
            <v>21881</v>
          </cell>
          <cell r="H263">
            <v>8325.73</v>
          </cell>
          <cell r="I263">
            <v>0</v>
          </cell>
          <cell r="J263">
            <v>6891.24</v>
          </cell>
          <cell r="K263">
            <v>1434.49</v>
          </cell>
          <cell r="L263">
            <v>0</v>
          </cell>
        </row>
        <row r="264">
          <cell r="A264">
            <v>1</v>
          </cell>
          <cell r="B264">
            <v>1</v>
          </cell>
          <cell r="C264">
            <v>885</v>
          </cell>
          <cell r="D264" t="str">
            <v xml:space="preserve">  </v>
          </cell>
          <cell r="E264" t="str">
            <v xml:space="preserve">    </v>
          </cell>
          <cell r="F264" t="str">
            <v xml:space="preserve">   </v>
          </cell>
          <cell r="G264">
            <v>11885</v>
          </cell>
          <cell r="H264">
            <v>1703.6</v>
          </cell>
          <cell r="I264">
            <v>227.13</v>
          </cell>
          <cell r="J264">
            <v>1476.47</v>
          </cell>
          <cell r="K264">
            <v>0</v>
          </cell>
          <cell r="L264">
            <v>0</v>
          </cell>
        </row>
        <row r="265">
          <cell r="A265">
            <v>2</v>
          </cell>
          <cell r="B265">
            <v>1</v>
          </cell>
          <cell r="C265">
            <v>885</v>
          </cell>
          <cell r="D265" t="str">
            <v xml:space="preserve">  </v>
          </cell>
          <cell r="E265" t="str">
            <v xml:space="preserve">    </v>
          </cell>
          <cell r="F265" t="str">
            <v xml:space="preserve">   </v>
          </cell>
          <cell r="G265">
            <v>21885</v>
          </cell>
          <cell r="H265">
            <v>15957.67</v>
          </cell>
          <cell r="I265">
            <v>1984.49</v>
          </cell>
          <cell r="J265">
            <v>13973.18</v>
          </cell>
          <cell r="K265">
            <v>0</v>
          </cell>
          <cell r="L265">
            <v>0</v>
          </cell>
        </row>
        <row r="266">
          <cell r="A266">
            <v>1</v>
          </cell>
          <cell r="B266">
            <v>1</v>
          </cell>
          <cell r="C266">
            <v>887</v>
          </cell>
          <cell r="D266" t="str">
            <v xml:space="preserve">  </v>
          </cell>
          <cell r="E266" t="str">
            <v xml:space="preserve">    </v>
          </cell>
          <cell r="F266" t="str">
            <v xml:space="preserve">   </v>
          </cell>
          <cell r="G266">
            <v>11887</v>
          </cell>
          <cell r="H266">
            <v>62806.45</v>
          </cell>
          <cell r="I266">
            <v>3183.16</v>
          </cell>
          <cell r="J266">
            <v>48651.71</v>
          </cell>
          <cell r="K266">
            <v>10971.58</v>
          </cell>
          <cell r="L266">
            <v>0</v>
          </cell>
        </row>
        <row r="267">
          <cell r="A267">
            <v>2</v>
          </cell>
          <cell r="B267">
            <v>1</v>
          </cell>
          <cell r="C267">
            <v>887</v>
          </cell>
          <cell r="D267" t="str">
            <v xml:space="preserve">  </v>
          </cell>
          <cell r="E267" t="str">
            <v xml:space="preserve">    </v>
          </cell>
          <cell r="F267" t="str">
            <v xml:space="preserve">   </v>
          </cell>
          <cell r="G267">
            <v>21887</v>
          </cell>
          <cell r="H267">
            <v>808040.1</v>
          </cell>
          <cell r="I267">
            <v>57553.35</v>
          </cell>
          <cell r="J267">
            <v>615157.4</v>
          </cell>
          <cell r="K267">
            <v>135329.35</v>
          </cell>
          <cell r="L267">
            <v>0</v>
          </cell>
        </row>
        <row r="268">
          <cell r="A268">
            <v>1</v>
          </cell>
          <cell r="B268">
            <v>1</v>
          </cell>
          <cell r="C268">
            <v>889</v>
          </cell>
          <cell r="D268" t="str">
            <v xml:space="preserve">  </v>
          </cell>
          <cell r="E268" t="str">
            <v xml:space="preserve">    </v>
          </cell>
          <cell r="F268" t="str">
            <v xml:space="preserve">   </v>
          </cell>
          <cell r="G268">
            <v>11889</v>
          </cell>
          <cell r="H268">
            <v>5553.59</v>
          </cell>
          <cell r="I268">
            <v>1448.27</v>
          </cell>
          <cell r="J268">
            <v>2018.22</v>
          </cell>
          <cell r="K268">
            <v>2087.1</v>
          </cell>
          <cell r="L268">
            <v>0</v>
          </cell>
        </row>
        <row r="269">
          <cell r="A269">
            <v>2</v>
          </cell>
          <cell r="B269">
            <v>1</v>
          </cell>
          <cell r="C269">
            <v>889</v>
          </cell>
          <cell r="D269" t="str">
            <v xml:space="preserve">  </v>
          </cell>
          <cell r="E269" t="str">
            <v xml:space="preserve">    </v>
          </cell>
          <cell r="F269" t="str">
            <v xml:space="preserve">   </v>
          </cell>
          <cell r="G269">
            <v>21889</v>
          </cell>
          <cell r="H269">
            <v>117041.02</v>
          </cell>
          <cell r="I269">
            <v>6705.87</v>
          </cell>
          <cell r="J269">
            <v>75341.539999999994</v>
          </cell>
          <cell r="K269">
            <v>34993.61</v>
          </cell>
          <cell r="L269">
            <v>0</v>
          </cell>
        </row>
        <row r="270">
          <cell r="A270">
            <v>1</v>
          </cell>
          <cell r="B270">
            <v>1</v>
          </cell>
          <cell r="C270">
            <v>890</v>
          </cell>
          <cell r="D270" t="str">
            <v xml:space="preserve">  </v>
          </cell>
          <cell r="E270" t="str">
            <v xml:space="preserve">    </v>
          </cell>
          <cell r="F270" t="str">
            <v xml:space="preserve">   </v>
          </cell>
          <cell r="G270">
            <v>11890</v>
          </cell>
          <cell r="H270">
            <v>13087.09</v>
          </cell>
          <cell r="I270">
            <v>10386.790000000001</v>
          </cell>
          <cell r="J270">
            <v>1986.06</v>
          </cell>
          <cell r="K270">
            <v>714.24</v>
          </cell>
          <cell r="L270">
            <v>0</v>
          </cell>
        </row>
        <row r="271">
          <cell r="A271">
            <v>2</v>
          </cell>
          <cell r="B271">
            <v>1</v>
          </cell>
          <cell r="C271">
            <v>890</v>
          </cell>
          <cell r="D271" t="str">
            <v xml:space="preserve">  </v>
          </cell>
          <cell r="E271" t="str">
            <v xml:space="preserve">    </v>
          </cell>
          <cell r="F271" t="str">
            <v xml:space="preserve">   </v>
          </cell>
          <cell r="G271">
            <v>21890</v>
          </cell>
          <cell r="H271">
            <v>117732.48</v>
          </cell>
          <cell r="I271">
            <v>77485.45</v>
          </cell>
          <cell r="J271">
            <v>24490.37</v>
          </cell>
          <cell r="K271">
            <v>15756.66</v>
          </cell>
          <cell r="L271">
            <v>0</v>
          </cell>
        </row>
        <row r="272">
          <cell r="A272">
            <v>1</v>
          </cell>
          <cell r="B272">
            <v>1</v>
          </cell>
          <cell r="C272">
            <v>891</v>
          </cell>
          <cell r="D272" t="str">
            <v xml:space="preserve">  </v>
          </cell>
          <cell r="E272" t="str">
            <v xml:space="preserve">    </v>
          </cell>
          <cell r="F272" t="str">
            <v xml:space="preserve">   </v>
          </cell>
          <cell r="G272">
            <v>11891</v>
          </cell>
          <cell r="H272">
            <v>7927.66</v>
          </cell>
          <cell r="I272">
            <v>0</v>
          </cell>
          <cell r="J272">
            <v>4478.95</v>
          </cell>
          <cell r="K272">
            <v>3448.71</v>
          </cell>
          <cell r="L272">
            <v>0</v>
          </cell>
        </row>
        <row r="273">
          <cell r="A273">
            <v>2</v>
          </cell>
          <cell r="B273">
            <v>1</v>
          </cell>
          <cell r="C273">
            <v>891</v>
          </cell>
          <cell r="D273" t="str">
            <v xml:space="preserve">  </v>
          </cell>
          <cell r="E273" t="str">
            <v xml:space="preserve">    </v>
          </cell>
          <cell r="F273" t="str">
            <v xml:space="preserve">   </v>
          </cell>
          <cell r="G273">
            <v>21891</v>
          </cell>
          <cell r="H273">
            <v>42584.12</v>
          </cell>
          <cell r="I273">
            <v>94.02</v>
          </cell>
          <cell r="J273">
            <v>23591.98</v>
          </cell>
          <cell r="K273">
            <v>18898.12</v>
          </cell>
          <cell r="L273">
            <v>0</v>
          </cell>
        </row>
        <row r="274">
          <cell r="A274">
            <v>1</v>
          </cell>
          <cell r="B274">
            <v>1</v>
          </cell>
          <cell r="C274">
            <v>892</v>
          </cell>
          <cell r="D274" t="str">
            <v xml:space="preserve">  </v>
          </cell>
          <cell r="E274" t="str">
            <v xml:space="preserve">    </v>
          </cell>
          <cell r="F274" t="str">
            <v xml:space="preserve">   </v>
          </cell>
          <cell r="G274">
            <v>11892</v>
          </cell>
          <cell r="H274">
            <v>46577.68</v>
          </cell>
          <cell r="I274">
            <v>34564.28</v>
          </cell>
          <cell r="J274">
            <v>10289.6</v>
          </cell>
          <cell r="K274">
            <v>1723.8</v>
          </cell>
          <cell r="L274">
            <v>0</v>
          </cell>
        </row>
        <row r="275">
          <cell r="A275">
            <v>2</v>
          </cell>
          <cell r="B275">
            <v>1</v>
          </cell>
          <cell r="C275">
            <v>892</v>
          </cell>
          <cell r="D275" t="str">
            <v xml:space="preserve">  </v>
          </cell>
          <cell r="E275" t="str">
            <v xml:space="preserve">    </v>
          </cell>
          <cell r="F275" t="str">
            <v xml:space="preserve">   </v>
          </cell>
          <cell r="G275">
            <v>21892</v>
          </cell>
          <cell r="H275">
            <v>267821.83</v>
          </cell>
          <cell r="I275">
            <v>34564.28</v>
          </cell>
          <cell r="J275">
            <v>164131.98000000001</v>
          </cell>
          <cell r="K275">
            <v>69125.570000000007</v>
          </cell>
          <cell r="L275">
            <v>0</v>
          </cell>
        </row>
        <row r="276">
          <cell r="A276">
            <v>1</v>
          </cell>
          <cell r="B276">
            <v>1</v>
          </cell>
          <cell r="C276">
            <v>893</v>
          </cell>
          <cell r="D276" t="str">
            <v xml:space="preserve">  </v>
          </cell>
          <cell r="E276" t="str">
            <v xml:space="preserve">    </v>
          </cell>
          <cell r="F276" t="str">
            <v xml:space="preserve">   </v>
          </cell>
          <cell r="G276">
            <v>11893</v>
          </cell>
          <cell r="H276">
            <v>28430.62</v>
          </cell>
          <cell r="I276">
            <v>12425.85</v>
          </cell>
          <cell r="J276">
            <v>10806.38</v>
          </cell>
          <cell r="K276">
            <v>5198.3900000000003</v>
          </cell>
          <cell r="L276">
            <v>0</v>
          </cell>
        </row>
        <row r="277">
          <cell r="A277">
            <v>2</v>
          </cell>
          <cell r="B277">
            <v>1</v>
          </cell>
          <cell r="C277">
            <v>893</v>
          </cell>
          <cell r="D277" t="str">
            <v xml:space="preserve">  </v>
          </cell>
          <cell r="E277" t="str">
            <v xml:space="preserve">    </v>
          </cell>
          <cell r="F277" t="str">
            <v xml:space="preserve">   </v>
          </cell>
          <cell r="G277">
            <v>21893</v>
          </cell>
          <cell r="H277">
            <v>398346.84</v>
          </cell>
          <cell r="I277">
            <v>176684.99</v>
          </cell>
          <cell r="J277">
            <v>153899.89000000001</v>
          </cell>
          <cell r="K277">
            <v>67761.960000000006</v>
          </cell>
          <cell r="L277">
            <v>0</v>
          </cell>
        </row>
        <row r="278">
          <cell r="A278">
            <v>1</v>
          </cell>
          <cell r="B278">
            <v>1</v>
          </cell>
          <cell r="C278">
            <v>901</v>
          </cell>
          <cell r="D278" t="str">
            <v xml:space="preserve">  </v>
          </cell>
          <cell r="E278" t="str">
            <v xml:space="preserve">    </v>
          </cell>
          <cell r="F278" t="str">
            <v xml:space="preserve">   </v>
          </cell>
          <cell r="G278">
            <v>11901</v>
          </cell>
          <cell r="H278">
            <v>10872.48</v>
          </cell>
          <cell r="I278">
            <v>8677.7800000000007</v>
          </cell>
          <cell r="J278">
            <v>1893.4</v>
          </cell>
          <cell r="K278">
            <v>301.3</v>
          </cell>
          <cell r="L278">
            <v>0</v>
          </cell>
        </row>
        <row r="279">
          <cell r="A279">
            <v>2</v>
          </cell>
          <cell r="B279">
            <v>1</v>
          </cell>
          <cell r="C279">
            <v>901</v>
          </cell>
          <cell r="D279" t="str">
            <v xml:space="preserve">  </v>
          </cell>
          <cell r="E279" t="str">
            <v xml:space="preserve">    </v>
          </cell>
          <cell r="F279" t="str">
            <v xml:space="preserve">   </v>
          </cell>
          <cell r="G279">
            <v>21901</v>
          </cell>
          <cell r="H279">
            <v>146597.01999999999</v>
          </cell>
          <cell r="I279">
            <v>122572.27</v>
          </cell>
          <cell r="J279">
            <v>22207.47</v>
          </cell>
          <cell r="K279">
            <v>1817.28</v>
          </cell>
          <cell r="L279">
            <v>0</v>
          </cell>
        </row>
        <row r="280">
          <cell r="A280">
            <v>1</v>
          </cell>
          <cell r="B280">
            <v>1</v>
          </cell>
          <cell r="C280">
            <v>902</v>
          </cell>
          <cell r="D280" t="str">
            <v xml:space="preserve">  </v>
          </cell>
          <cell r="E280" t="str">
            <v xml:space="preserve">    </v>
          </cell>
          <cell r="F280" t="str">
            <v xml:space="preserve">   </v>
          </cell>
          <cell r="G280">
            <v>11902</v>
          </cell>
          <cell r="H280">
            <v>99289.99</v>
          </cell>
          <cell r="I280">
            <v>169.05</v>
          </cell>
          <cell r="J280">
            <v>65336.91</v>
          </cell>
          <cell r="K280">
            <v>33784.03</v>
          </cell>
          <cell r="L280">
            <v>0</v>
          </cell>
        </row>
        <row r="281">
          <cell r="A281">
            <v>2</v>
          </cell>
          <cell r="B281">
            <v>1</v>
          </cell>
          <cell r="C281">
            <v>902</v>
          </cell>
          <cell r="D281" t="str">
            <v xml:space="preserve">  </v>
          </cell>
          <cell r="E281" t="str">
            <v xml:space="preserve">    </v>
          </cell>
          <cell r="F281" t="str">
            <v xml:space="preserve">   </v>
          </cell>
          <cell r="G281">
            <v>21902</v>
          </cell>
          <cell r="H281">
            <v>1039397.1</v>
          </cell>
          <cell r="I281">
            <v>6950.53</v>
          </cell>
          <cell r="J281">
            <v>691122.68</v>
          </cell>
          <cell r="K281">
            <v>341323.89</v>
          </cell>
          <cell r="L281">
            <v>0</v>
          </cell>
        </row>
        <row r="282">
          <cell r="A282">
            <v>1</v>
          </cell>
          <cell r="B282">
            <v>1</v>
          </cell>
          <cell r="C282">
            <v>904</v>
          </cell>
          <cell r="D282" t="str">
            <v xml:space="preserve">  </v>
          </cell>
          <cell r="E282" t="str">
            <v xml:space="preserve">    </v>
          </cell>
          <cell r="F282" t="str">
            <v xml:space="preserve">   </v>
          </cell>
          <cell r="G282">
            <v>11904</v>
          </cell>
          <cell r="H282">
            <v>115111.81</v>
          </cell>
          <cell r="I282">
            <v>115111.81</v>
          </cell>
          <cell r="J282">
            <v>0</v>
          </cell>
          <cell r="K282">
            <v>0</v>
          </cell>
          <cell r="L282">
            <v>0</v>
          </cell>
        </row>
        <row r="283">
          <cell r="A283">
            <v>2</v>
          </cell>
          <cell r="B283">
            <v>1</v>
          </cell>
          <cell r="C283">
            <v>904</v>
          </cell>
          <cell r="D283" t="str">
            <v xml:space="preserve">  </v>
          </cell>
          <cell r="E283" t="str">
            <v xml:space="preserve">    </v>
          </cell>
          <cell r="F283" t="str">
            <v xml:space="preserve">   </v>
          </cell>
          <cell r="G283">
            <v>21904</v>
          </cell>
          <cell r="H283">
            <v>690658.32</v>
          </cell>
          <cell r="I283">
            <v>690658.32</v>
          </cell>
          <cell r="J283">
            <v>0</v>
          </cell>
          <cell r="K283">
            <v>0</v>
          </cell>
          <cell r="L283">
            <v>0</v>
          </cell>
        </row>
        <row r="284">
          <cell r="A284">
            <v>1</v>
          </cell>
          <cell r="B284">
            <v>1</v>
          </cell>
          <cell r="C284">
            <v>905</v>
          </cell>
          <cell r="D284" t="str">
            <v xml:space="preserve">  </v>
          </cell>
          <cell r="E284" t="str">
            <v xml:space="preserve">    </v>
          </cell>
          <cell r="F284" t="str">
            <v xml:space="preserve">   </v>
          </cell>
          <cell r="G284">
            <v>11905</v>
          </cell>
          <cell r="H284">
            <v>6403.3</v>
          </cell>
          <cell r="I284">
            <v>6372.87</v>
          </cell>
          <cell r="J284">
            <v>30.43</v>
          </cell>
          <cell r="K284">
            <v>0</v>
          </cell>
          <cell r="L284">
            <v>0</v>
          </cell>
        </row>
        <row r="285">
          <cell r="A285">
            <v>2</v>
          </cell>
          <cell r="B285">
            <v>1</v>
          </cell>
          <cell r="C285">
            <v>905</v>
          </cell>
          <cell r="D285" t="str">
            <v xml:space="preserve">  </v>
          </cell>
          <cell r="E285" t="str">
            <v xml:space="preserve">    </v>
          </cell>
          <cell r="F285" t="str">
            <v xml:space="preserve">   </v>
          </cell>
          <cell r="G285">
            <v>21905</v>
          </cell>
          <cell r="H285">
            <v>98842.1</v>
          </cell>
          <cell r="I285">
            <v>95743.43</v>
          </cell>
          <cell r="J285">
            <v>224.04</v>
          </cell>
          <cell r="K285">
            <v>2874.63</v>
          </cell>
          <cell r="L285">
            <v>0</v>
          </cell>
        </row>
        <row r="286">
          <cell r="A286">
            <v>1</v>
          </cell>
          <cell r="B286">
            <v>1</v>
          </cell>
          <cell r="C286">
            <v>909</v>
          </cell>
          <cell r="D286" t="str">
            <v xml:space="preserve">  </v>
          </cell>
          <cell r="E286" t="str">
            <v xml:space="preserve">    </v>
          </cell>
          <cell r="F286" t="str">
            <v xml:space="preserve">   </v>
          </cell>
          <cell r="G286">
            <v>11909</v>
          </cell>
          <cell r="H286">
            <v>27422.45</v>
          </cell>
          <cell r="I286">
            <v>27405.01</v>
          </cell>
          <cell r="J286">
            <v>17.440000000000001</v>
          </cell>
          <cell r="K286">
            <v>0</v>
          </cell>
          <cell r="L286">
            <v>0</v>
          </cell>
        </row>
        <row r="287">
          <cell r="A287">
            <v>2</v>
          </cell>
          <cell r="B287">
            <v>1</v>
          </cell>
          <cell r="C287">
            <v>909</v>
          </cell>
          <cell r="D287" t="str">
            <v xml:space="preserve">  </v>
          </cell>
          <cell r="E287" t="str">
            <v xml:space="preserve">    </v>
          </cell>
          <cell r="F287" t="str">
            <v xml:space="preserve">   </v>
          </cell>
          <cell r="G287">
            <v>21909</v>
          </cell>
          <cell r="H287">
            <v>51928</v>
          </cell>
          <cell r="I287">
            <v>51336.03</v>
          </cell>
          <cell r="J287">
            <v>522.21</v>
          </cell>
          <cell r="K287">
            <v>69.760000000000005</v>
          </cell>
          <cell r="L287">
            <v>0</v>
          </cell>
        </row>
        <row r="288">
          <cell r="A288">
            <v>1</v>
          </cell>
          <cell r="B288">
            <v>1</v>
          </cell>
          <cell r="C288">
            <v>912</v>
          </cell>
          <cell r="D288" t="str">
            <v xml:space="preserve">  </v>
          </cell>
          <cell r="E288" t="str">
            <v xml:space="preserve">    </v>
          </cell>
          <cell r="F288" t="str">
            <v xml:space="preserve">   </v>
          </cell>
          <cell r="G288">
            <v>11912</v>
          </cell>
          <cell r="H288">
            <v>58994.99</v>
          </cell>
          <cell r="I288">
            <v>46911.82</v>
          </cell>
          <cell r="J288">
            <v>10955.11</v>
          </cell>
          <cell r="K288">
            <v>1128.06</v>
          </cell>
          <cell r="L288">
            <v>0</v>
          </cell>
        </row>
        <row r="289">
          <cell r="A289">
            <v>2</v>
          </cell>
          <cell r="B289">
            <v>1</v>
          </cell>
          <cell r="C289">
            <v>912</v>
          </cell>
          <cell r="D289" t="str">
            <v xml:space="preserve">  </v>
          </cell>
          <cell r="E289" t="str">
            <v xml:space="preserve">    </v>
          </cell>
          <cell r="F289" t="str">
            <v xml:space="preserve">   </v>
          </cell>
          <cell r="G289">
            <v>21912</v>
          </cell>
          <cell r="H289">
            <v>659859.17000000004</v>
          </cell>
          <cell r="I289">
            <v>537532.63</v>
          </cell>
          <cell r="J289">
            <v>99780.6</v>
          </cell>
          <cell r="K289">
            <v>22545.94</v>
          </cell>
          <cell r="L289">
            <v>0</v>
          </cell>
        </row>
        <row r="290">
          <cell r="A290">
            <v>1</v>
          </cell>
          <cell r="B290">
            <v>1</v>
          </cell>
          <cell r="C290">
            <v>920</v>
          </cell>
          <cell r="D290" t="str">
            <v xml:space="preserve">  </v>
          </cell>
          <cell r="E290" t="str">
            <v xml:space="preserve">    </v>
          </cell>
          <cell r="F290" t="str">
            <v xml:space="preserve">   </v>
          </cell>
          <cell r="G290">
            <v>11920</v>
          </cell>
          <cell r="H290">
            <v>356156.56</v>
          </cell>
          <cell r="I290">
            <v>342033.83</v>
          </cell>
          <cell r="J290">
            <v>12266.66</v>
          </cell>
          <cell r="K290">
            <v>1856.07</v>
          </cell>
          <cell r="L290">
            <v>0</v>
          </cell>
        </row>
        <row r="291">
          <cell r="A291">
            <v>2</v>
          </cell>
          <cell r="B291">
            <v>1</v>
          </cell>
          <cell r="C291">
            <v>920</v>
          </cell>
          <cell r="D291" t="str">
            <v xml:space="preserve">  </v>
          </cell>
          <cell r="E291" t="str">
            <v xml:space="preserve">    </v>
          </cell>
          <cell r="F291" t="str">
            <v xml:space="preserve">   </v>
          </cell>
          <cell r="G291">
            <v>21920</v>
          </cell>
          <cell r="H291">
            <v>3630431.1</v>
          </cell>
          <cell r="I291">
            <v>3466837.93</v>
          </cell>
          <cell r="J291">
            <v>142594.76999999999</v>
          </cell>
          <cell r="K291">
            <v>20998.400000000001</v>
          </cell>
          <cell r="L291">
            <v>0</v>
          </cell>
        </row>
        <row r="292">
          <cell r="A292">
            <v>1</v>
          </cell>
          <cell r="B292">
            <v>1</v>
          </cell>
          <cell r="C292">
            <v>921</v>
          </cell>
          <cell r="D292" t="str">
            <v xml:space="preserve">  </v>
          </cell>
          <cell r="E292" t="str">
            <v xml:space="preserve">    </v>
          </cell>
          <cell r="F292" t="str">
            <v xml:space="preserve">   </v>
          </cell>
          <cell r="G292">
            <v>11921</v>
          </cell>
          <cell r="H292">
            <v>342524.92</v>
          </cell>
          <cell r="I292">
            <v>324976.34000000003</v>
          </cell>
          <cell r="J292">
            <v>14195.88</v>
          </cell>
          <cell r="K292">
            <v>3352.7</v>
          </cell>
          <cell r="L292">
            <v>0</v>
          </cell>
        </row>
        <row r="293">
          <cell r="A293">
            <v>2</v>
          </cell>
          <cell r="B293">
            <v>1</v>
          </cell>
          <cell r="C293">
            <v>921</v>
          </cell>
          <cell r="D293" t="str">
            <v xml:space="preserve">  </v>
          </cell>
          <cell r="E293" t="str">
            <v xml:space="preserve">    </v>
          </cell>
          <cell r="F293" t="str">
            <v xml:space="preserve">   </v>
          </cell>
          <cell r="G293">
            <v>21921</v>
          </cell>
          <cell r="H293">
            <v>1635592.76</v>
          </cell>
          <cell r="I293">
            <v>1507773.3</v>
          </cell>
          <cell r="J293">
            <v>88607.15</v>
          </cell>
          <cell r="K293">
            <v>39212.31</v>
          </cell>
          <cell r="L293">
            <v>0</v>
          </cell>
        </row>
        <row r="294">
          <cell r="A294">
            <v>1</v>
          </cell>
          <cell r="B294">
            <v>1</v>
          </cell>
          <cell r="C294">
            <v>922</v>
          </cell>
          <cell r="D294" t="str">
            <v xml:space="preserve">  </v>
          </cell>
          <cell r="E294" t="str">
            <v xml:space="preserve">    </v>
          </cell>
          <cell r="F294" t="str">
            <v xml:space="preserve">   </v>
          </cell>
          <cell r="G294">
            <v>11922</v>
          </cell>
          <cell r="H294">
            <v>-500.47</v>
          </cell>
          <cell r="I294">
            <v>-500.47</v>
          </cell>
          <cell r="J294">
            <v>0</v>
          </cell>
          <cell r="K294">
            <v>0</v>
          </cell>
          <cell r="L294">
            <v>0</v>
          </cell>
        </row>
        <row r="295">
          <cell r="A295">
            <v>2</v>
          </cell>
          <cell r="B295">
            <v>1</v>
          </cell>
          <cell r="C295">
            <v>922</v>
          </cell>
          <cell r="D295" t="str">
            <v xml:space="preserve">  </v>
          </cell>
          <cell r="E295" t="str">
            <v xml:space="preserve">    </v>
          </cell>
          <cell r="F295" t="str">
            <v xml:space="preserve">   </v>
          </cell>
          <cell r="G295">
            <v>21922</v>
          </cell>
          <cell r="H295">
            <v>-2390.73</v>
          </cell>
          <cell r="I295">
            <v>-2390.73</v>
          </cell>
          <cell r="J295">
            <v>0</v>
          </cell>
          <cell r="K295">
            <v>0</v>
          </cell>
          <cell r="L295">
            <v>0</v>
          </cell>
        </row>
        <row r="296">
          <cell r="A296">
            <v>1</v>
          </cell>
          <cell r="B296">
            <v>1</v>
          </cell>
          <cell r="C296">
            <v>923</v>
          </cell>
          <cell r="D296" t="str">
            <v xml:space="preserve">  </v>
          </cell>
          <cell r="E296" t="str">
            <v xml:space="preserve">    </v>
          </cell>
          <cell r="F296" t="str">
            <v xml:space="preserve">   </v>
          </cell>
          <cell r="G296">
            <v>11923</v>
          </cell>
          <cell r="H296">
            <v>180443.84</v>
          </cell>
          <cell r="I296">
            <v>174131.63</v>
          </cell>
          <cell r="J296">
            <v>6312.21</v>
          </cell>
          <cell r="K296">
            <v>0</v>
          </cell>
          <cell r="L296">
            <v>0</v>
          </cell>
        </row>
        <row r="297">
          <cell r="A297">
            <v>2</v>
          </cell>
          <cell r="B297">
            <v>1</v>
          </cell>
          <cell r="C297">
            <v>923</v>
          </cell>
          <cell r="D297" t="str">
            <v xml:space="preserve">  </v>
          </cell>
          <cell r="E297" t="str">
            <v xml:space="preserve">    </v>
          </cell>
          <cell r="F297" t="str">
            <v xml:space="preserve">   </v>
          </cell>
          <cell r="G297">
            <v>21923</v>
          </cell>
          <cell r="H297">
            <v>1788876.21</v>
          </cell>
          <cell r="I297">
            <v>1752422.98</v>
          </cell>
          <cell r="J297">
            <v>35341.800000000003</v>
          </cell>
          <cell r="K297">
            <v>1111.43</v>
          </cell>
          <cell r="L297">
            <v>0</v>
          </cell>
        </row>
        <row r="298">
          <cell r="A298">
            <v>1</v>
          </cell>
          <cell r="B298">
            <v>1</v>
          </cell>
          <cell r="C298">
            <v>924</v>
          </cell>
          <cell r="D298" t="str">
            <v xml:space="preserve">  </v>
          </cell>
          <cell r="E298" t="str">
            <v xml:space="preserve">    </v>
          </cell>
          <cell r="F298" t="str">
            <v xml:space="preserve">   </v>
          </cell>
          <cell r="G298">
            <v>11924</v>
          </cell>
          <cell r="H298">
            <v>6068.28</v>
          </cell>
          <cell r="I298">
            <v>6068.28</v>
          </cell>
          <cell r="J298">
            <v>0</v>
          </cell>
          <cell r="K298">
            <v>0</v>
          </cell>
          <cell r="L298">
            <v>0</v>
          </cell>
        </row>
        <row r="299">
          <cell r="A299">
            <v>2</v>
          </cell>
          <cell r="B299">
            <v>1</v>
          </cell>
          <cell r="C299">
            <v>924</v>
          </cell>
          <cell r="D299" t="str">
            <v xml:space="preserve">  </v>
          </cell>
          <cell r="E299" t="str">
            <v xml:space="preserve">    </v>
          </cell>
          <cell r="F299" t="str">
            <v xml:space="preserve">   </v>
          </cell>
          <cell r="G299">
            <v>21924</v>
          </cell>
          <cell r="H299">
            <v>23115.18</v>
          </cell>
          <cell r="I299">
            <v>23115.18</v>
          </cell>
          <cell r="J299">
            <v>0</v>
          </cell>
          <cell r="K299">
            <v>0</v>
          </cell>
          <cell r="L299">
            <v>0</v>
          </cell>
        </row>
        <row r="300">
          <cell r="A300">
            <v>1</v>
          </cell>
          <cell r="B300">
            <v>1</v>
          </cell>
          <cell r="C300">
            <v>925</v>
          </cell>
          <cell r="D300" t="str">
            <v xml:space="preserve">  </v>
          </cell>
          <cell r="E300" t="str">
            <v xml:space="preserve">    </v>
          </cell>
          <cell r="F300" t="str">
            <v xml:space="preserve">   </v>
          </cell>
          <cell r="G300">
            <v>11925</v>
          </cell>
          <cell r="H300">
            <v>24899.61</v>
          </cell>
          <cell r="I300">
            <v>24537.72</v>
          </cell>
          <cell r="J300">
            <v>106.2</v>
          </cell>
          <cell r="K300">
            <v>255.69</v>
          </cell>
          <cell r="L300">
            <v>0</v>
          </cell>
        </row>
        <row r="301">
          <cell r="A301">
            <v>2</v>
          </cell>
          <cell r="B301">
            <v>1</v>
          </cell>
          <cell r="C301">
            <v>925</v>
          </cell>
          <cell r="D301" t="str">
            <v xml:space="preserve">  </v>
          </cell>
          <cell r="E301" t="str">
            <v xml:space="preserve">    </v>
          </cell>
          <cell r="F301" t="str">
            <v xml:space="preserve">   </v>
          </cell>
          <cell r="G301">
            <v>21925</v>
          </cell>
          <cell r="H301">
            <v>281291.71999999997</v>
          </cell>
          <cell r="I301">
            <v>273264.78999999998</v>
          </cell>
          <cell r="J301">
            <v>3894.81</v>
          </cell>
          <cell r="K301">
            <v>4132.12</v>
          </cell>
          <cell r="L301">
            <v>0</v>
          </cell>
        </row>
        <row r="302">
          <cell r="A302">
            <v>1</v>
          </cell>
          <cell r="B302">
            <v>1</v>
          </cell>
          <cell r="C302">
            <v>926</v>
          </cell>
          <cell r="D302" t="str">
            <v xml:space="preserve">  </v>
          </cell>
          <cell r="E302" t="str">
            <v xml:space="preserve">    </v>
          </cell>
          <cell r="F302" t="str">
            <v xml:space="preserve">   </v>
          </cell>
          <cell r="G302">
            <v>11926</v>
          </cell>
          <cell r="H302">
            <v>64622.7</v>
          </cell>
          <cell r="I302">
            <v>46983.48</v>
          </cell>
          <cell r="J302">
            <v>11920.38</v>
          </cell>
          <cell r="K302">
            <v>5718.84</v>
          </cell>
          <cell r="L302">
            <v>0</v>
          </cell>
        </row>
        <row r="303">
          <cell r="A303">
            <v>2</v>
          </cell>
          <cell r="B303">
            <v>1</v>
          </cell>
          <cell r="C303">
            <v>926</v>
          </cell>
          <cell r="D303" t="str">
            <v xml:space="preserve">  </v>
          </cell>
          <cell r="E303" t="str">
            <v xml:space="preserve">    </v>
          </cell>
          <cell r="F303" t="str">
            <v xml:space="preserve">   </v>
          </cell>
          <cell r="G303">
            <v>21926</v>
          </cell>
          <cell r="H303">
            <v>649442.17000000004</v>
          </cell>
          <cell r="I303">
            <v>441318.2</v>
          </cell>
          <cell r="J303">
            <v>165192.32000000001</v>
          </cell>
          <cell r="K303">
            <v>42931.65</v>
          </cell>
          <cell r="L303">
            <v>0</v>
          </cell>
        </row>
        <row r="304">
          <cell r="A304">
            <v>1</v>
          </cell>
          <cell r="B304">
            <v>1</v>
          </cell>
          <cell r="C304">
            <v>927</v>
          </cell>
          <cell r="D304" t="str">
            <v xml:space="preserve">  </v>
          </cell>
          <cell r="E304" t="str">
            <v xml:space="preserve">    </v>
          </cell>
          <cell r="F304" t="str">
            <v xml:space="preserve">   </v>
          </cell>
          <cell r="G304">
            <v>11927</v>
          </cell>
          <cell r="H304">
            <v>150455.44</v>
          </cell>
          <cell r="I304">
            <v>0</v>
          </cell>
          <cell r="J304">
            <v>92910.68</v>
          </cell>
          <cell r="K304">
            <v>57544.76</v>
          </cell>
          <cell r="L304">
            <v>0</v>
          </cell>
        </row>
        <row r="305">
          <cell r="A305">
            <v>2</v>
          </cell>
          <cell r="B305">
            <v>1</v>
          </cell>
          <cell r="C305">
            <v>927</v>
          </cell>
          <cell r="D305" t="str">
            <v xml:space="preserve">  </v>
          </cell>
          <cell r="E305" t="str">
            <v xml:space="preserve">    </v>
          </cell>
          <cell r="F305" t="str">
            <v xml:space="preserve">   </v>
          </cell>
          <cell r="G305">
            <v>21927</v>
          </cell>
          <cell r="H305">
            <v>1046482.56</v>
          </cell>
          <cell r="I305">
            <v>0</v>
          </cell>
          <cell r="J305">
            <v>604797.19999999995</v>
          </cell>
          <cell r="K305">
            <v>441685.36</v>
          </cell>
          <cell r="L305">
            <v>0</v>
          </cell>
        </row>
        <row r="306">
          <cell r="A306">
            <v>1</v>
          </cell>
          <cell r="B306">
            <v>1</v>
          </cell>
          <cell r="C306">
            <v>930</v>
          </cell>
          <cell r="D306" t="str">
            <v xml:space="preserve">  </v>
          </cell>
          <cell r="E306" t="str">
            <v xml:space="preserve">    </v>
          </cell>
          <cell r="F306" t="str">
            <v xml:space="preserve">   </v>
          </cell>
          <cell r="G306">
            <v>11930</v>
          </cell>
          <cell r="H306">
            <v>74575.78</v>
          </cell>
          <cell r="I306">
            <v>56629.54</v>
          </cell>
          <cell r="J306">
            <v>12638.47</v>
          </cell>
          <cell r="K306">
            <v>5307.77</v>
          </cell>
          <cell r="L306">
            <v>0</v>
          </cell>
        </row>
        <row r="307">
          <cell r="A307">
            <v>2</v>
          </cell>
          <cell r="B307">
            <v>1</v>
          </cell>
          <cell r="C307">
            <v>930</v>
          </cell>
          <cell r="D307" t="str">
            <v xml:space="preserve">  </v>
          </cell>
          <cell r="E307" t="str">
            <v xml:space="preserve">    </v>
          </cell>
          <cell r="F307" t="str">
            <v xml:space="preserve">   </v>
          </cell>
          <cell r="G307">
            <v>21930</v>
          </cell>
          <cell r="H307">
            <v>707109.33</v>
          </cell>
          <cell r="I307">
            <v>573403.9</v>
          </cell>
          <cell r="J307">
            <v>93306.19</v>
          </cell>
          <cell r="K307">
            <v>40399.24</v>
          </cell>
          <cell r="L307">
            <v>0</v>
          </cell>
        </row>
        <row r="308">
          <cell r="A308">
            <v>1</v>
          </cell>
          <cell r="B308">
            <v>1</v>
          </cell>
          <cell r="C308">
            <v>931</v>
          </cell>
          <cell r="D308" t="str">
            <v xml:space="preserve">  </v>
          </cell>
          <cell r="E308" t="str">
            <v xml:space="preserve">    </v>
          </cell>
          <cell r="F308" t="str">
            <v xml:space="preserve">   </v>
          </cell>
          <cell r="G308">
            <v>11931</v>
          </cell>
          <cell r="H308">
            <v>105178.23</v>
          </cell>
          <cell r="I308">
            <v>103884.45</v>
          </cell>
          <cell r="J308">
            <v>981.25</v>
          </cell>
          <cell r="K308">
            <v>312.52999999999997</v>
          </cell>
          <cell r="L308">
            <v>0</v>
          </cell>
        </row>
        <row r="309">
          <cell r="A309">
            <v>2</v>
          </cell>
          <cell r="B309">
            <v>1</v>
          </cell>
          <cell r="C309">
            <v>931</v>
          </cell>
          <cell r="D309" t="str">
            <v xml:space="preserve">  </v>
          </cell>
          <cell r="E309" t="str">
            <v xml:space="preserve">    </v>
          </cell>
          <cell r="F309" t="str">
            <v xml:space="preserve">   </v>
          </cell>
          <cell r="G309">
            <v>21931</v>
          </cell>
          <cell r="H309">
            <v>1088087.76</v>
          </cell>
          <cell r="I309">
            <v>1069813.1100000001</v>
          </cell>
          <cell r="J309">
            <v>15866.47</v>
          </cell>
          <cell r="K309">
            <v>2408.1799999999998</v>
          </cell>
          <cell r="L309">
            <v>0</v>
          </cell>
        </row>
        <row r="310">
          <cell r="A310">
            <v>1</v>
          </cell>
          <cell r="B310">
            <v>1</v>
          </cell>
          <cell r="C310">
            <v>935</v>
          </cell>
          <cell r="D310" t="str">
            <v xml:space="preserve">  </v>
          </cell>
          <cell r="E310" t="str">
            <v xml:space="preserve">    </v>
          </cell>
          <cell r="F310" t="str">
            <v xml:space="preserve">   </v>
          </cell>
          <cell r="G310">
            <v>11935</v>
          </cell>
          <cell r="H310">
            <v>80657.63</v>
          </cell>
          <cell r="I310">
            <v>63561.67</v>
          </cell>
          <cell r="J310">
            <v>12484.96</v>
          </cell>
          <cell r="K310">
            <v>4611</v>
          </cell>
          <cell r="L310">
            <v>0</v>
          </cell>
        </row>
        <row r="311">
          <cell r="A311">
            <v>2</v>
          </cell>
          <cell r="B311">
            <v>1</v>
          </cell>
          <cell r="C311">
            <v>935</v>
          </cell>
          <cell r="D311" t="str">
            <v xml:space="preserve">  </v>
          </cell>
          <cell r="E311" t="str">
            <v xml:space="preserve">    </v>
          </cell>
          <cell r="F311" t="str">
            <v xml:space="preserve">   </v>
          </cell>
          <cell r="G311">
            <v>21935</v>
          </cell>
          <cell r="H311">
            <v>678944.89</v>
          </cell>
          <cell r="I311">
            <v>490613.1</v>
          </cell>
          <cell r="J311">
            <v>123927.79</v>
          </cell>
          <cell r="K311">
            <v>64404</v>
          </cell>
          <cell r="L311">
            <v>0</v>
          </cell>
        </row>
        <row r="312">
          <cell r="A312">
            <v>1</v>
          </cell>
          <cell r="B312">
            <v>2</v>
          </cell>
          <cell r="C312">
            <v>400</v>
          </cell>
          <cell r="D312" t="str">
            <v xml:space="preserve">  </v>
          </cell>
          <cell r="E312" t="str">
            <v xml:space="preserve">    </v>
          </cell>
          <cell r="F312" t="str">
            <v xml:space="preserve">   </v>
          </cell>
          <cell r="G312">
            <v>12400</v>
          </cell>
          <cell r="H312">
            <v>-1392310</v>
          </cell>
          <cell r="I312">
            <v>0</v>
          </cell>
          <cell r="J312">
            <v>-1154015</v>
          </cell>
          <cell r="K312">
            <v>-238295</v>
          </cell>
          <cell r="L312">
            <v>0</v>
          </cell>
        </row>
        <row r="313">
          <cell r="A313">
            <v>2</v>
          </cell>
          <cell r="B313">
            <v>2</v>
          </cell>
          <cell r="C313">
            <v>400</v>
          </cell>
          <cell r="D313" t="str">
            <v xml:space="preserve">  </v>
          </cell>
          <cell r="E313" t="str">
            <v xml:space="preserve">    </v>
          </cell>
          <cell r="F313" t="str">
            <v xml:space="preserve">   </v>
          </cell>
          <cell r="G313">
            <v>22400</v>
          </cell>
          <cell r="H313">
            <v>-1170774</v>
          </cell>
          <cell r="I313">
            <v>0</v>
          </cell>
          <cell r="J313">
            <v>-827035</v>
          </cell>
          <cell r="K313">
            <v>-343739</v>
          </cell>
          <cell r="L313">
            <v>0</v>
          </cell>
        </row>
        <row r="314">
          <cell r="A314">
            <v>1</v>
          </cell>
          <cell r="B314">
            <v>2</v>
          </cell>
          <cell r="C314">
            <v>480</v>
          </cell>
          <cell r="D314" t="str">
            <v xml:space="preserve">  </v>
          </cell>
          <cell r="E314" t="str">
            <v xml:space="preserve">    </v>
          </cell>
          <cell r="F314" t="str">
            <v xml:space="preserve">   </v>
          </cell>
          <cell r="G314">
            <v>12480</v>
          </cell>
          <cell r="H314">
            <v>-4750889.32</v>
          </cell>
          <cell r="I314">
            <v>0</v>
          </cell>
          <cell r="J314">
            <v>-3655274.13</v>
          </cell>
          <cell r="K314">
            <v>-1095615.19</v>
          </cell>
          <cell r="L314">
            <v>0</v>
          </cell>
        </row>
        <row r="315">
          <cell r="A315">
            <v>2</v>
          </cell>
          <cell r="B315">
            <v>2</v>
          </cell>
          <cell r="C315">
            <v>480</v>
          </cell>
          <cell r="D315" t="str">
            <v xml:space="preserve">  </v>
          </cell>
          <cell r="E315" t="str">
            <v xml:space="preserve">    </v>
          </cell>
          <cell r="F315" t="str">
            <v xml:space="preserve">   </v>
          </cell>
          <cell r="G315">
            <v>22480</v>
          </cell>
          <cell r="H315">
            <v>-35442727.140000001</v>
          </cell>
          <cell r="I315">
            <v>0</v>
          </cell>
          <cell r="J315">
            <v>-26204609.079999998</v>
          </cell>
          <cell r="K315">
            <v>-9238118.0600000005</v>
          </cell>
          <cell r="L315">
            <v>0</v>
          </cell>
        </row>
        <row r="316">
          <cell r="A316">
            <v>1</v>
          </cell>
          <cell r="B316">
            <v>2</v>
          </cell>
          <cell r="C316">
            <v>483</v>
          </cell>
          <cell r="D316" t="str">
            <v xml:space="preserve">  </v>
          </cell>
          <cell r="E316" t="str">
            <v xml:space="preserve">    </v>
          </cell>
          <cell r="F316" t="str">
            <v xml:space="preserve">   </v>
          </cell>
          <cell r="G316">
            <v>12483</v>
          </cell>
          <cell r="H316">
            <v>-532930.17000000004</v>
          </cell>
          <cell r="I316">
            <v>0</v>
          </cell>
          <cell r="J316">
            <v>-532930.17000000004</v>
          </cell>
          <cell r="K316">
            <v>0</v>
          </cell>
          <cell r="L316">
            <v>0</v>
          </cell>
        </row>
        <row r="317">
          <cell r="A317">
            <v>2</v>
          </cell>
          <cell r="B317">
            <v>2</v>
          </cell>
          <cell r="C317">
            <v>483</v>
          </cell>
          <cell r="D317" t="str">
            <v xml:space="preserve">  </v>
          </cell>
          <cell r="E317" t="str">
            <v xml:space="preserve">    </v>
          </cell>
          <cell r="F317" t="str">
            <v xml:space="preserve">   </v>
          </cell>
          <cell r="G317">
            <v>22483</v>
          </cell>
          <cell r="H317">
            <v>-10010604.51</v>
          </cell>
          <cell r="I317">
            <v>0</v>
          </cell>
          <cell r="J317">
            <v>-9240849.7799999993</v>
          </cell>
          <cell r="K317">
            <v>-769754.73</v>
          </cell>
          <cell r="L317">
            <v>0</v>
          </cell>
        </row>
        <row r="318">
          <cell r="A318">
            <v>1</v>
          </cell>
          <cell r="B318">
            <v>2</v>
          </cell>
          <cell r="C318">
            <v>742</v>
          </cell>
          <cell r="D318" t="str">
            <v xml:space="preserve">  </v>
          </cell>
          <cell r="E318" t="str">
            <v xml:space="preserve">    </v>
          </cell>
          <cell r="F318" t="str">
            <v xml:space="preserve">   </v>
          </cell>
          <cell r="G318">
            <v>12742</v>
          </cell>
          <cell r="H318">
            <v>875</v>
          </cell>
          <cell r="I318">
            <v>0</v>
          </cell>
          <cell r="J318">
            <v>875</v>
          </cell>
          <cell r="K318">
            <v>0</v>
          </cell>
          <cell r="L318">
            <v>0</v>
          </cell>
        </row>
        <row r="319">
          <cell r="A319">
            <v>2</v>
          </cell>
          <cell r="B319">
            <v>2</v>
          </cell>
          <cell r="C319">
            <v>742</v>
          </cell>
          <cell r="D319" t="str">
            <v xml:space="preserve">  </v>
          </cell>
          <cell r="E319" t="str">
            <v xml:space="preserve">    </v>
          </cell>
          <cell r="F319" t="str">
            <v xml:space="preserve">   </v>
          </cell>
          <cell r="G319">
            <v>22742</v>
          </cell>
          <cell r="H319">
            <v>1158.5</v>
          </cell>
          <cell r="I319">
            <v>0</v>
          </cell>
          <cell r="J319">
            <v>1158.5</v>
          </cell>
          <cell r="K319">
            <v>0</v>
          </cell>
          <cell r="L319">
            <v>0</v>
          </cell>
        </row>
        <row r="320">
          <cell r="A320">
            <v>1</v>
          </cell>
          <cell r="B320">
            <v>2</v>
          </cell>
          <cell r="C320">
            <v>856</v>
          </cell>
          <cell r="D320" t="str">
            <v xml:space="preserve">  </v>
          </cell>
          <cell r="E320" t="str">
            <v xml:space="preserve">    </v>
          </cell>
          <cell r="F320" t="str">
            <v xml:space="preserve">   </v>
          </cell>
          <cell r="G320">
            <v>12856</v>
          </cell>
          <cell r="H320">
            <v>0</v>
          </cell>
          <cell r="I320">
            <v>0</v>
          </cell>
          <cell r="J320">
            <v>0</v>
          </cell>
          <cell r="K320">
            <v>0</v>
          </cell>
          <cell r="L320">
            <v>0</v>
          </cell>
        </row>
        <row r="321">
          <cell r="A321">
            <v>2</v>
          </cell>
          <cell r="B321">
            <v>2</v>
          </cell>
          <cell r="C321">
            <v>856</v>
          </cell>
          <cell r="D321" t="str">
            <v xml:space="preserve">  </v>
          </cell>
          <cell r="E321" t="str">
            <v xml:space="preserve">    </v>
          </cell>
          <cell r="F321" t="str">
            <v xml:space="preserve">   </v>
          </cell>
          <cell r="G321">
            <v>22856</v>
          </cell>
          <cell r="H321">
            <v>3611.12</v>
          </cell>
          <cell r="I321">
            <v>0</v>
          </cell>
          <cell r="J321">
            <v>3611.12</v>
          </cell>
          <cell r="K321">
            <v>0</v>
          </cell>
          <cell r="L321">
            <v>0</v>
          </cell>
        </row>
        <row r="322">
          <cell r="A322">
            <v>1</v>
          </cell>
          <cell r="B322">
            <v>2</v>
          </cell>
          <cell r="C322">
            <v>859</v>
          </cell>
          <cell r="D322" t="str">
            <v xml:space="preserve">  </v>
          </cell>
          <cell r="E322" t="str">
            <v xml:space="preserve">    </v>
          </cell>
          <cell r="F322" t="str">
            <v xml:space="preserve">   </v>
          </cell>
          <cell r="G322">
            <v>12859</v>
          </cell>
          <cell r="H322">
            <v>0</v>
          </cell>
          <cell r="I322">
            <v>0</v>
          </cell>
          <cell r="J322">
            <v>0</v>
          </cell>
          <cell r="K322">
            <v>0</v>
          </cell>
          <cell r="L322">
            <v>0</v>
          </cell>
        </row>
        <row r="323">
          <cell r="A323">
            <v>2</v>
          </cell>
          <cell r="B323">
            <v>2</v>
          </cell>
          <cell r="C323">
            <v>859</v>
          </cell>
          <cell r="D323" t="str">
            <v xml:space="preserve">  </v>
          </cell>
          <cell r="E323" t="str">
            <v xml:space="preserve">    </v>
          </cell>
          <cell r="F323" t="str">
            <v xml:space="preserve">   </v>
          </cell>
          <cell r="G323">
            <v>22859</v>
          </cell>
          <cell r="H323">
            <v>70.34</v>
          </cell>
          <cell r="I323">
            <v>0</v>
          </cell>
          <cell r="J323">
            <v>70.34</v>
          </cell>
          <cell r="K323">
            <v>0</v>
          </cell>
          <cell r="L323">
            <v>0</v>
          </cell>
        </row>
        <row r="324">
          <cell r="A324">
            <v>1</v>
          </cell>
          <cell r="B324">
            <v>2</v>
          </cell>
          <cell r="C324">
            <v>863</v>
          </cell>
          <cell r="D324" t="str">
            <v xml:space="preserve">  </v>
          </cell>
          <cell r="E324" t="str">
            <v xml:space="preserve">    </v>
          </cell>
          <cell r="F324" t="str">
            <v xml:space="preserve">   </v>
          </cell>
          <cell r="G324">
            <v>12863</v>
          </cell>
          <cell r="H324">
            <v>0</v>
          </cell>
          <cell r="I324">
            <v>0</v>
          </cell>
          <cell r="J324">
            <v>0</v>
          </cell>
          <cell r="K324">
            <v>0</v>
          </cell>
          <cell r="L324">
            <v>0</v>
          </cell>
        </row>
        <row r="325">
          <cell r="A325">
            <v>2</v>
          </cell>
          <cell r="B325">
            <v>2</v>
          </cell>
          <cell r="C325">
            <v>863</v>
          </cell>
          <cell r="D325" t="str">
            <v xml:space="preserve">  </v>
          </cell>
          <cell r="E325" t="str">
            <v xml:space="preserve">    </v>
          </cell>
          <cell r="F325" t="str">
            <v xml:space="preserve">   </v>
          </cell>
          <cell r="G325">
            <v>22863</v>
          </cell>
          <cell r="H325">
            <v>4472.43</v>
          </cell>
          <cell r="I325">
            <v>0</v>
          </cell>
          <cell r="J325">
            <v>4472.43</v>
          </cell>
          <cell r="K325">
            <v>0</v>
          </cell>
          <cell r="L325">
            <v>0</v>
          </cell>
        </row>
        <row r="326">
          <cell r="A326">
            <v>1</v>
          </cell>
          <cell r="B326">
            <v>2</v>
          </cell>
          <cell r="C326">
            <v>865</v>
          </cell>
          <cell r="D326" t="str">
            <v xml:space="preserve">  </v>
          </cell>
          <cell r="E326" t="str">
            <v xml:space="preserve">    </v>
          </cell>
          <cell r="F326" t="str">
            <v xml:space="preserve">   </v>
          </cell>
          <cell r="G326">
            <v>12865</v>
          </cell>
          <cell r="H326">
            <v>270.52</v>
          </cell>
          <cell r="I326">
            <v>0</v>
          </cell>
          <cell r="J326">
            <v>270.52</v>
          </cell>
          <cell r="K326">
            <v>0</v>
          </cell>
          <cell r="L326">
            <v>0</v>
          </cell>
        </row>
        <row r="327">
          <cell r="A327">
            <v>2</v>
          </cell>
          <cell r="B327">
            <v>2</v>
          </cell>
          <cell r="C327">
            <v>865</v>
          </cell>
          <cell r="D327" t="str">
            <v xml:space="preserve">  </v>
          </cell>
          <cell r="E327" t="str">
            <v xml:space="preserve">    </v>
          </cell>
          <cell r="F327" t="str">
            <v xml:space="preserve">   </v>
          </cell>
          <cell r="G327">
            <v>22865</v>
          </cell>
          <cell r="H327">
            <v>25710.97</v>
          </cell>
          <cell r="I327">
            <v>0</v>
          </cell>
          <cell r="J327">
            <v>25710.97</v>
          </cell>
          <cell r="K327">
            <v>0</v>
          </cell>
          <cell r="L327">
            <v>0</v>
          </cell>
        </row>
        <row r="328">
          <cell r="A328">
            <v>1</v>
          </cell>
          <cell r="B328">
            <v>2</v>
          </cell>
          <cell r="C328">
            <v>866</v>
          </cell>
          <cell r="D328" t="str">
            <v xml:space="preserve">  </v>
          </cell>
          <cell r="E328" t="str">
            <v xml:space="preserve">    </v>
          </cell>
          <cell r="F328" t="str">
            <v xml:space="preserve">   </v>
          </cell>
          <cell r="G328">
            <v>12866</v>
          </cell>
          <cell r="H328">
            <v>7847.58</v>
          </cell>
          <cell r="I328">
            <v>0</v>
          </cell>
          <cell r="J328">
            <v>7847.58</v>
          </cell>
          <cell r="K328">
            <v>0</v>
          </cell>
          <cell r="L328">
            <v>0</v>
          </cell>
        </row>
        <row r="329">
          <cell r="A329">
            <v>2</v>
          </cell>
          <cell r="B329">
            <v>2</v>
          </cell>
          <cell r="C329">
            <v>866</v>
          </cell>
          <cell r="D329" t="str">
            <v xml:space="preserve">  </v>
          </cell>
          <cell r="E329" t="str">
            <v xml:space="preserve">    </v>
          </cell>
          <cell r="F329" t="str">
            <v xml:space="preserve">   </v>
          </cell>
          <cell r="G329">
            <v>22866</v>
          </cell>
          <cell r="H329">
            <v>80657.539999999994</v>
          </cell>
          <cell r="I329">
            <v>0</v>
          </cell>
          <cell r="J329">
            <v>80302.490000000005</v>
          </cell>
          <cell r="K329">
            <v>355.05</v>
          </cell>
          <cell r="L329">
            <v>0</v>
          </cell>
        </row>
        <row r="330">
          <cell r="A330">
            <v>1</v>
          </cell>
          <cell r="B330">
            <v>2</v>
          </cell>
          <cell r="C330">
            <v>870</v>
          </cell>
          <cell r="D330" t="str">
            <v xml:space="preserve">  </v>
          </cell>
          <cell r="E330" t="str">
            <v xml:space="preserve">    </v>
          </cell>
          <cell r="F330" t="str">
            <v xml:space="preserve">   </v>
          </cell>
          <cell r="G330">
            <v>12870</v>
          </cell>
          <cell r="H330">
            <v>8752.3799999999992</v>
          </cell>
          <cell r="I330">
            <v>3482.81</v>
          </cell>
          <cell r="J330">
            <v>3760.7</v>
          </cell>
          <cell r="K330">
            <v>1508.87</v>
          </cell>
          <cell r="L330">
            <v>0</v>
          </cell>
        </row>
        <row r="331">
          <cell r="A331">
            <v>2</v>
          </cell>
          <cell r="B331">
            <v>2</v>
          </cell>
          <cell r="C331">
            <v>870</v>
          </cell>
          <cell r="D331" t="str">
            <v xml:space="preserve">  </v>
          </cell>
          <cell r="E331" t="str">
            <v xml:space="preserve">    </v>
          </cell>
          <cell r="F331" t="str">
            <v xml:space="preserve">   </v>
          </cell>
          <cell r="G331">
            <v>22870</v>
          </cell>
          <cell r="H331">
            <v>148298.82</v>
          </cell>
          <cell r="I331">
            <v>78754.92</v>
          </cell>
          <cell r="J331">
            <v>42334.98</v>
          </cell>
          <cell r="K331">
            <v>27208.92</v>
          </cell>
          <cell r="L331">
            <v>0</v>
          </cell>
        </row>
        <row r="332">
          <cell r="A332">
            <v>1</v>
          </cell>
          <cell r="B332">
            <v>2</v>
          </cell>
          <cell r="C332">
            <v>871</v>
          </cell>
          <cell r="D332" t="str">
            <v xml:space="preserve">  </v>
          </cell>
          <cell r="E332" t="str">
            <v xml:space="preserve">    </v>
          </cell>
          <cell r="F332" t="str">
            <v xml:space="preserve">   </v>
          </cell>
          <cell r="G332">
            <v>12871</v>
          </cell>
          <cell r="H332">
            <v>163.34</v>
          </cell>
          <cell r="I332">
            <v>0</v>
          </cell>
          <cell r="J332">
            <v>163.34</v>
          </cell>
          <cell r="K332">
            <v>0</v>
          </cell>
          <cell r="L332">
            <v>0</v>
          </cell>
        </row>
        <row r="333">
          <cell r="A333">
            <v>2</v>
          </cell>
          <cell r="B333">
            <v>2</v>
          </cell>
          <cell r="C333">
            <v>871</v>
          </cell>
          <cell r="D333" t="str">
            <v xml:space="preserve">  </v>
          </cell>
          <cell r="E333" t="str">
            <v xml:space="preserve">    </v>
          </cell>
          <cell r="F333" t="str">
            <v xml:space="preserve">   </v>
          </cell>
          <cell r="G333">
            <v>22871</v>
          </cell>
          <cell r="H333">
            <v>2151.36</v>
          </cell>
          <cell r="I333">
            <v>0</v>
          </cell>
          <cell r="J333">
            <v>2151.36</v>
          </cell>
          <cell r="K333">
            <v>0</v>
          </cell>
          <cell r="L333">
            <v>0</v>
          </cell>
        </row>
        <row r="334">
          <cell r="A334">
            <v>1</v>
          </cell>
          <cell r="B334">
            <v>2</v>
          </cell>
          <cell r="C334">
            <v>874</v>
          </cell>
          <cell r="D334" t="str">
            <v xml:space="preserve">  </v>
          </cell>
          <cell r="E334" t="str">
            <v xml:space="preserve">    </v>
          </cell>
          <cell r="F334" t="str">
            <v xml:space="preserve">   </v>
          </cell>
          <cell r="G334">
            <v>12874</v>
          </cell>
          <cell r="H334">
            <v>46722.43</v>
          </cell>
          <cell r="I334">
            <v>0</v>
          </cell>
          <cell r="J334">
            <v>44961.39</v>
          </cell>
          <cell r="K334">
            <v>1761.04</v>
          </cell>
          <cell r="L334">
            <v>0</v>
          </cell>
        </row>
        <row r="335">
          <cell r="A335">
            <v>2</v>
          </cell>
          <cell r="B335">
            <v>2</v>
          </cell>
          <cell r="C335">
            <v>874</v>
          </cell>
          <cell r="D335" t="str">
            <v xml:space="preserve">  </v>
          </cell>
          <cell r="E335" t="str">
            <v xml:space="preserve">    </v>
          </cell>
          <cell r="F335" t="str">
            <v xml:space="preserve">   </v>
          </cell>
          <cell r="G335">
            <v>22874</v>
          </cell>
          <cell r="H335">
            <v>588875.38</v>
          </cell>
          <cell r="I335">
            <v>0</v>
          </cell>
          <cell r="J335">
            <v>538788.1</v>
          </cell>
          <cell r="K335">
            <v>50087.28</v>
          </cell>
          <cell r="L335">
            <v>0</v>
          </cell>
        </row>
        <row r="336">
          <cell r="A336">
            <v>1</v>
          </cell>
          <cell r="B336">
            <v>2</v>
          </cell>
          <cell r="C336">
            <v>875</v>
          </cell>
          <cell r="D336" t="str">
            <v xml:space="preserve">  </v>
          </cell>
          <cell r="E336" t="str">
            <v xml:space="preserve">    </v>
          </cell>
          <cell r="F336" t="str">
            <v xml:space="preserve">   </v>
          </cell>
          <cell r="G336">
            <v>12875</v>
          </cell>
          <cell r="H336">
            <v>764.6</v>
          </cell>
          <cell r="I336">
            <v>0</v>
          </cell>
          <cell r="J336">
            <v>764.6</v>
          </cell>
          <cell r="K336">
            <v>0</v>
          </cell>
          <cell r="L336">
            <v>0</v>
          </cell>
        </row>
        <row r="337">
          <cell r="A337">
            <v>2</v>
          </cell>
          <cell r="B337">
            <v>2</v>
          </cell>
          <cell r="C337">
            <v>875</v>
          </cell>
          <cell r="D337" t="str">
            <v xml:space="preserve">  </v>
          </cell>
          <cell r="E337" t="str">
            <v xml:space="preserve">    </v>
          </cell>
          <cell r="F337" t="str">
            <v xml:space="preserve">   </v>
          </cell>
          <cell r="G337">
            <v>22875</v>
          </cell>
          <cell r="H337">
            <v>8582.09</v>
          </cell>
          <cell r="I337">
            <v>0</v>
          </cell>
          <cell r="J337">
            <v>8582.09</v>
          </cell>
          <cell r="K337">
            <v>0</v>
          </cell>
          <cell r="L337">
            <v>0</v>
          </cell>
        </row>
        <row r="338">
          <cell r="A338">
            <v>1</v>
          </cell>
          <cell r="B338">
            <v>2</v>
          </cell>
          <cell r="C338">
            <v>876</v>
          </cell>
          <cell r="D338" t="str">
            <v xml:space="preserve">  </v>
          </cell>
          <cell r="E338" t="str">
            <v xml:space="preserve">    </v>
          </cell>
          <cell r="F338" t="str">
            <v xml:space="preserve">   </v>
          </cell>
          <cell r="G338">
            <v>12876</v>
          </cell>
          <cell r="H338">
            <v>684.03</v>
          </cell>
          <cell r="I338">
            <v>0</v>
          </cell>
          <cell r="J338">
            <v>684.03</v>
          </cell>
          <cell r="K338">
            <v>0</v>
          </cell>
          <cell r="L338">
            <v>0</v>
          </cell>
        </row>
        <row r="339">
          <cell r="A339">
            <v>2</v>
          </cell>
          <cell r="B339">
            <v>2</v>
          </cell>
          <cell r="C339">
            <v>876</v>
          </cell>
          <cell r="D339" t="str">
            <v xml:space="preserve">  </v>
          </cell>
          <cell r="E339" t="str">
            <v xml:space="preserve">    </v>
          </cell>
          <cell r="F339" t="str">
            <v xml:space="preserve">   </v>
          </cell>
          <cell r="G339">
            <v>22876</v>
          </cell>
          <cell r="H339">
            <v>8139.63</v>
          </cell>
          <cell r="I339">
            <v>0</v>
          </cell>
          <cell r="J339">
            <v>8128.91</v>
          </cell>
          <cell r="K339">
            <v>10.72</v>
          </cell>
          <cell r="L339">
            <v>0</v>
          </cell>
        </row>
        <row r="340">
          <cell r="A340">
            <v>1</v>
          </cell>
          <cell r="B340">
            <v>2</v>
          </cell>
          <cell r="C340">
            <v>877</v>
          </cell>
          <cell r="D340" t="str">
            <v xml:space="preserve">  </v>
          </cell>
          <cell r="E340" t="str">
            <v xml:space="preserve">    </v>
          </cell>
          <cell r="F340" t="str">
            <v xml:space="preserve">   </v>
          </cell>
          <cell r="G340">
            <v>12877</v>
          </cell>
          <cell r="H340">
            <v>129.53</v>
          </cell>
          <cell r="I340">
            <v>0</v>
          </cell>
          <cell r="J340">
            <v>74.03</v>
          </cell>
          <cell r="K340">
            <v>55.5</v>
          </cell>
          <cell r="L340">
            <v>0</v>
          </cell>
        </row>
        <row r="341">
          <cell r="A341">
            <v>2</v>
          </cell>
          <cell r="B341">
            <v>2</v>
          </cell>
          <cell r="C341">
            <v>877</v>
          </cell>
          <cell r="D341" t="str">
            <v xml:space="preserve">  </v>
          </cell>
          <cell r="E341" t="str">
            <v xml:space="preserve">    </v>
          </cell>
          <cell r="F341" t="str">
            <v xml:space="preserve">   </v>
          </cell>
          <cell r="G341">
            <v>22877</v>
          </cell>
          <cell r="H341">
            <v>4704.3100000000004</v>
          </cell>
          <cell r="I341">
            <v>0</v>
          </cell>
          <cell r="J341">
            <v>3237.09</v>
          </cell>
          <cell r="K341">
            <v>1467.22</v>
          </cell>
          <cell r="L341">
            <v>0</v>
          </cell>
        </row>
        <row r="342">
          <cell r="A342">
            <v>1</v>
          </cell>
          <cell r="B342">
            <v>2</v>
          </cell>
          <cell r="C342">
            <v>878</v>
          </cell>
          <cell r="D342" t="str">
            <v xml:space="preserve">  </v>
          </cell>
          <cell r="E342" t="str">
            <v xml:space="preserve">    </v>
          </cell>
          <cell r="F342" t="str">
            <v xml:space="preserve">   </v>
          </cell>
          <cell r="G342">
            <v>12878</v>
          </cell>
          <cell r="H342">
            <v>67175.73</v>
          </cell>
          <cell r="I342">
            <v>0</v>
          </cell>
          <cell r="J342">
            <v>58656.98</v>
          </cell>
          <cell r="K342">
            <v>8518.75</v>
          </cell>
          <cell r="L342">
            <v>0</v>
          </cell>
        </row>
        <row r="343">
          <cell r="A343">
            <v>2</v>
          </cell>
          <cell r="B343">
            <v>2</v>
          </cell>
          <cell r="C343">
            <v>878</v>
          </cell>
          <cell r="D343" t="str">
            <v xml:space="preserve">  </v>
          </cell>
          <cell r="E343" t="str">
            <v xml:space="preserve">    </v>
          </cell>
          <cell r="F343" t="str">
            <v xml:space="preserve">   </v>
          </cell>
          <cell r="G343">
            <v>22878</v>
          </cell>
          <cell r="H343">
            <v>559730.76</v>
          </cell>
          <cell r="I343">
            <v>0</v>
          </cell>
          <cell r="J343">
            <v>477310.41</v>
          </cell>
          <cell r="K343">
            <v>82420.350000000006</v>
          </cell>
          <cell r="L343">
            <v>0</v>
          </cell>
        </row>
        <row r="344">
          <cell r="A344">
            <v>1</v>
          </cell>
          <cell r="B344">
            <v>2</v>
          </cell>
          <cell r="C344">
            <v>879</v>
          </cell>
          <cell r="D344" t="str">
            <v xml:space="preserve">  </v>
          </cell>
          <cell r="E344" t="str">
            <v xml:space="preserve">    </v>
          </cell>
          <cell r="F344" t="str">
            <v xml:space="preserve">   </v>
          </cell>
          <cell r="G344">
            <v>12879</v>
          </cell>
          <cell r="H344">
            <v>61944.480000000003</v>
          </cell>
          <cell r="I344">
            <v>0</v>
          </cell>
          <cell r="J344">
            <v>54949.96</v>
          </cell>
          <cell r="K344">
            <v>6994.52</v>
          </cell>
          <cell r="L344">
            <v>0</v>
          </cell>
        </row>
        <row r="345">
          <cell r="A345">
            <v>2</v>
          </cell>
          <cell r="B345">
            <v>2</v>
          </cell>
          <cell r="C345">
            <v>879</v>
          </cell>
          <cell r="D345" t="str">
            <v xml:space="preserve">  </v>
          </cell>
          <cell r="E345" t="str">
            <v xml:space="preserve">    </v>
          </cell>
          <cell r="F345" t="str">
            <v xml:space="preserve">   </v>
          </cell>
          <cell r="G345">
            <v>22879</v>
          </cell>
          <cell r="H345">
            <v>605731.04</v>
          </cell>
          <cell r="I345">
            <v>0</v>
          </cell>
          <cell r="J345">
            <v>536715.59</v>
          </cell>
          <cell r="K345">
            <v>69015.45</v>
          </cell>
          <cell r="L345">
            <v>0</v>
          </cell>
        </row>
        <row r="346">
          <cell r="A346">
            <v>1</v>
          </cell>
          <cell r="B346">
            <v>2</v>
          </cell>
          <cell r="C346">
            <v>880</v>
          </cell>
          <cell r="D346" t="str">
            <v xml:space="preserve">  </v>
          </cell>
          <cell r="E346" t="str">
            <v xml:space="preserve">    </v>
          </cell>
          <cell r="F346" t="str">
            <v xml:space="preserve">   </v>
          </cell>
          <cell r="G346">
            <v>12880</v>
          </cell>
          <cell r="H346">
            <v>99282.18</v>
          </cell>
          <cell r="I346">
            <v>55005.63</v>
          </cell>
          <cell r="J346">
            <v>40893.35</v>
          </cell>
          <cell r="K346">
            <v>3383.2</v>
          </cell>
          <cell r="L346">
            <v>0</v>
          </cell>
        </row>
        <row r="347">
          <cell r="A347">
            <v>2</v>
          </cell>
          <cell r="B347">
            <v>2</v>
          </cell>
          <cell r="C347">
            <v>880</v>
          </cell>
          <cell r="D347" t="str">
            <v xml:space="preserve">  </v>
          </cell>
          <cell r="E347" t="str">
            <v xml:space="preserve">    </v>
          </cell>
          <cell r="F347" t="str">
            <v xml:space="preserve">   </v>
          </cell>
          <cell r="G347">
            <v>22880</v>
          </cell>
          <cell r="H347">
            <v>318833.53000000003</v>
          </cell>
          <cell r="I347">
            <v>72416.27</v>
          </cell>
          <cell r="J347">
            <v>213797.14</v>
          </cell>
          <cell r="K347">
            <v>32620.12</v>
          </cell>
          <cell r="L347">
            <v>0</v>
          </cell>
        </row>
        <row r="348">
          <cell r="A348">
            <v>1</v>
          </cell>
          <cell r="B348">
            <v>2</v>
          </cell>
          <cell r="C348">
            <v>881</v>
          </cell>
          <cell r="D348" t="str">
            <v xml:space="preserve">  </v>
          </cell>
          <cell r="E348" t="str">
            <v xml:space="preserve">    </v>
          </cell>
          <cell r="F348" t="str">
            <v xml:space="preserve">   </v>
          </cell>
          <cell r="G348">
            <v>12881</v>
          </cell>
          <cell r="H348">
            <v>0</v>
          </cell>
          <cell r="I348">
            <v>0</v>
          </cell>
          <cell r="J348">
            <v>0</v>
          </cell>
          <cell r="K348">
            <v>0</v>
          </cell>
          <cell r="L348">
            <v>0</v>
          </cell>
        </row>
        <row r="349">
          <cell r="A349">
            <v>2</v>
          </cell>
          <cell r="B349">
            <v>2</v>
          </cell>
          <cell r="C349">
            <v>881</v>
          </cell>
          <cell r="D349" t="str">
            <v xml:space="preserve">  </v>
          </cell>
          <cell r="E349" t="str">
            <v xml:space="preserve">    </v>
          </cell>
          <cell r="F349" t="str">
            <v xml:space="preserve">   </v>
          </cell>
          <cell r="G349">
            <v>22881</v>
          </cell>
          <cell r="H349">
            <v>10510.73</v>
          </cell>
          <cell r="I349">
            <v>0</v>
          </cell>
          <cell r="J349">
            <v>10160.73</v>
          </cell>
          <cell r="K349">
            <v>350</v>
          </cell>
          <cell r="L349">
            <v>0</v>
          </cell>
        </row>
        <row r="350">
          <cell r="A350">
            <v>1</v>
          </cell>
          <cell r="B350">
            <v>2</v>
          </cell>
          <cell r="C350">
            <v>885</v>
          </cell>
          <cell r="D350" t="str">
            <v xml:space="preserve">  </v>
          </cell>
          <cell r="E350" t="str">
            <v xml:space="preserve">    </v>
          </cell>
          <cell r="F350" t="str">
            <v xml:space="preserve">   </v>
          </cell>
          <cell r="G350">
            <v>12885</v>
          </cell>
          <cell r="H350">
            <v>1120.8</v>
          </cell>
          <cell r="I350">
            <v>0</v>
          </cell>
          <cell r="J350">
            <v>1120.8</v>
          </cell>
          <cell r="K350">
            <v>0</v>
          </cell>
          <cell r="L350">
            <v>0</v>
          </cell>
        </row>
        <row r="351">
          <cell r="A351">
            <v>2</v>
          </cell>
          <cell r="B351">
            <v>2</v>
          </cell>
          <cell r="C351">
            <v>885</v>
          </cell>
          <cell r="D351" t="str">
            <v xml:space="preserve">  </v>
          </cell>
          <cell r="E351" t="str">
            <v xml:space="preserve">    </v>
          </cell>
          <cell r="F351" t="str">
            <v xml:space="preserve">   </v>
          </cell>
          <cell r="G351">
            <v>22885</v>
          </cell>
          <cell r="H351">
            <v>17284.77</v>
          </cell>
          <cell r="I351">
            <v>0</v>
          </cell>
          <cell r="J351">
            <v>17284.77</v>
          </cell>
          <cell r="K351">
            <v>0</v>
          </cell>
          <cell r="L351">
            <v>0</v>
          </cell>
        </row>
        <row r="352">
          <cell r="A352">
            <v>1</v>
          </cell>
          <cell r="B352">
            <v>2</v>
          </cell>
          <cell r="C352">
            <v>887</v>
          </cell>
          <cell r="D352" t="str">
            <v xml:space="preserve">  </v>
          </cell>
          <cell r="E352" t="str">
            <v xml:space="preserve">    </v>
          </cell>
          <cell r="F352" t="str">
            <v xml:space="preserve">   </v>
          </cell>
          <cell r="G352">
            <v>12887</v>
          </cell>
          <cell r="H352">
            <v>32114.560000000001</v>
          </cell>
          <cell r="I352">
            <v>0</v>
          </cell>
          <cell r="J352">
            <v>28106.57</v>
          </cell>
          <cell r="K352">
            <v>4007.99</v>
          </cell>
          <cell r="L352">
            <v>0</v>
          </cell>
        </row>
        <row r="353">
          <cell r="A353">
            <v>2</v>
          </cell>
          <cell r="B353">
            <v>2</v>
          </cell>
          <cell r="C353">
            <v>887</v>
          </cell>
          <cell r="D353" t="str">
            <v xml:space="preserve">  </v>
          </cell>
          <cell r="E353" t="str">
            <v xml:space="preserve">    </v>
          </cell>
          <cell r="F353" t="str">
            <v xml:space="preserve">   </v>
          </cell>
          <cell r="G353">
            <v>22887</v>
          </cell>
          <cell r="H353">
            <v>452115.54</v>
          </cell>
          <cell r="I353">
            <v>219.51</v>
          </cell>
          <cell r="J353">
            <v>407764.97</v>
          </cell>
          <cell r="K353">
            <v>44131.06</v>
          </cell>
          <cell r="L353">
            <v>0</v>
          </cell>
        </row>
        <row r="354">
          <cell r="A354">
            <v>1</v>
          </cell>
          <cell r="B354">
            <v>2</v>
          </cell>
          <cell r="C354">
            <v>889</v>
          </cell>
          <cell r="D354" t="str">
            <v xml:space="preserve">  </v>
          </cell>
          <cell r="E354" t="str">
            <v xml:space="preserve">    </v>
          </cell>
          <cell r="F354" t="str">
            <v xml:space="preserve">   </v>
          </cell>
          <cell r="G354">
            <v>12889</v>
          </cell>
          <cell r="H354">
            <v>8685.07</v>
          </cell>
          <cell r="I354">
            <v>326.7</v>
          </cell>
          <cell r="J354">
            <v>8027.32</v>
          </cell>
          <cell r="K354">
            <v>331.05</v>
          </cell>
          <cell r="L354">
            <v>0</v>
          </cell>
        </row>
        <row r="355">
          <cell r="A355">
            <v>2</v>
          </cell>
          <cell r="B355">
            <v>2</v>
          </cell>
          <cell r="C355">
            <v>889</v>
          </cell>
          <cell r="D355" t="str">
            <v xml:space="preserve">  </v>
          </cell>
          <cell r="E355" t="str">
            <v xml:space="preserve">    </v>
          </cell>
          <cell r="F355" t="str">
            <v xml:space="preserve">   </v>
          </cell>
          <cell r="G355">
            <v>22889</v>
          </cell>
          <cell r="H355">
            <v>64092.72</v>
          </cell>
          <cell r="I355">
            <v>5136.3100000000004</v>
          </cell>
          <cell r="J355">
            <v>48556.72</v>
          </cell>
          <cell r="K355">
            <v>10399.69</v>
          </cell>
          <cell r="L355">
            <v>0</v>
          </cell>
        </row>
        <row r="356">
          <cell r="A356">
            <v>1</v>
          </cell>
          <cell r="B356">
            <v>2</v>
          </cell>
          <cell r="C356">
            <v>890</v>
          </cell>
          <cell r="D356" t="str">
            <v xml:space="preserve">  </v>
          </cell>
          <cell r="E356" t="str">
            <v xml:space="preserve">    </v>
          </cell>
          <cell r="F356" t="str">
            <v xml:space="preserve">   </v>
          </cell>
          <cell r="G356">
            <v>12890</v>
          </cell>
          <cell r="H356">
            <v>2103.44</v>
          </cell>
          <cell r="I356">
            <v>0</v>
          </cell>
          <cell r="J356">
            <v>2103.44</v>
          </cell>
          <cell r="K356">
            <v>0</v>
          </cell>
          <cell r="L356">
            <v>0</v>
          </cell>
        </row>
        <row r="357">
          <cell r="A357">
            <v>2</v>
          </cell>
          <cell r="B357">
            <v>2</v>
          </cell>
          <cell r="C357">
            <v>890</v>
          </cell>
          <cell r="D357" t="str">
            <v xml:space="preserve">  </v>
          </cell>
          <cell r="E357" t="str">
            <v xml:space="preserve">    </v>
          </cell>
          <cell r="F357" t="str">
            <v xml:space="preserve">   </v>
          </cell>
          <cell r="G357">
            <v>22890</v>
          </cell>
          <cell r="H357">
            <v>30690.7</v>
          </cell>
          <cell r="I357">
            <v>0</v>
          </cell>
          <cell r="J357">
            <v>30690.7</v>
          </cell>
          <cell r="K357">
            <v>0</v>
          </cell>
          <cell r="L357">
            <v>0</v>
          </cell>
        </row>
        <row r="358">
          <cell r="A358">
            <v>1</v>
          </cell>
          <cell r="B358">
            <v>2</v>
          </cell>
          <cell r="C358">
            <v>891</v>
          </cell>
          <cell r="D358" t="str">
            <v xml:space="preserve">  </v>
          </cell>
          <cell r="E358" t="str">
            <v xml:space="preserve">    </v>
          </cell>
          <cell r="F358" t="str">
            <v xml:space="preserve">   </v>
          </cell>
          <cell r="G358">
            <v>12891</v>
          </cell>
          <cell r="H358">
            <v>0</v>
          </cell>
          <cell r="I358">
            <v>0</v>
          </cell>
          <cell r="J358">
            <v>0</v>
          </cell>
          <cell r="K358">
            <v>0</v>
          </cell>
          <cell r="L358">
            <v>0</v>
          </cell>
        </row>
        <row r="359">
          <cell r="A359">
            <v>2</v>
          </cell>
          <cell r="B359">
            <v>2</v>
          </cell>
          <cell r="C359">
            <v>891</v>
          </cell>
          <cell r="D359" t="str">
            <v xml:space="preserve">  </v>
          </cell>
          <cell r="E359" t="str">
            <v xml:space="preserve">    </v>
          </cell>
          <cell r="F359" t="str">
            <v xml:space="preserve">   </v>
          </cell>
          <cell r="G359">
            <v>22891</v>
          </cell>
          <cell r="H359">
            <v>221.84</v>
          </cell>
          <cell r="I359">
            <v>0</v>
          </cell>
          <cell r="J359">
            <v>221.84</v>
          </cell>
          <cell r="K359">
            <v>0</v>
          </cell>
          <cell r="L359">
            <v>0</v>
          </cell>
        </row>
        <row r="360">
          <cell r="A360">
            <v>1</v>
          </cell>
          <cell r="B360">
            <v>2</v>
          </cell>
          <cell r="C360">
            <v>892</v>
          </cell>
          <cell r="D360" t="str">
            <v xml:space="preserve">  </v>
          </cell>
          <cell r="E360" t="str">
            <v xml:space="preserve">    </v>
          </cell>
          <cell r="F360" t="str">
            <v xml:space="preserve">   </v>
          </cell>
          <cell r="G360">
            <v>12892</v>
          </cell>
          <cell r="H360">
            <v>19601.97</v>
          </cell>
          <cell r="I360">
            <v>15379</v>
          </cell>
          <cell r="J360">
            <v>3820.74</v>
          </cell>
          <cell r="K360">
            <v>402.23</v>
          </cell>
          <cell r="L360">
            <v>0</v>
          </cell>
        </row>
        <row r="361">
          <cell r="A361">
            <v>2</v>
          </cell>
          <cell r="B361">
            <v>2</v>
          </cell>
          <cell r="C361">
            <v>892</v>
          </cell>
          <cell r="D361" t="str">
            <v xml:space="preserve">  </v>
          </cell>
          <cell r="E361" t="str">
            <v xml:space="preserve">    </v>
          </cell>
          <cell r="F361" t="str">
            <v xml:space="preserve">   </v>
          </cell>
          <cell r="G361">
            <v>22892</v>
          </cell>
          <cell r="H361">
            <v>90033.1</v>
          </cell>
          <cell r="I361">
            <v>15379</v>
          </cell>
          <cell r="J361">
            <v>63331.25</v>
          </cell>
          <cell r="K361">
            <v>11322.85</v>
          </cell>
          <cell r="L361">
            <v>0</v>
          </cell>
        </row>
        <row r="362">
          <cell r="A362">
            <v>1</v>
          </cell>
          <cell r="B362">
            <v>2</v>
          </cell>
          <cell r="C362">
            <v>893</v>
          </cell>
          <cell r="D362" t="str">
            <v xml:space="preserve">  </v>
          </cell>
          <cell r="E362" t="str">
            <v xml:space="preserve">    </v>
          </cell>
          <cell r="F362" t="str">
            <v xml:space="preserve">   </v>
          </cell>
          <cell r="G362">
            <v>12893</v>
          </cell>
          <cell r="H362">
            <v>22441.69</v>
          </cell>
          <cell r="I362">
            <v>11278.71</v>
          </cell>
          <cell r="J362">
            <v>2745.26</v>
          </cell>
          <cell r="K362">
            <v>8417.7199999999993</v>
          </cell>
          <cell r="L362">
            <v>0</v>
          </cell>
        </row>
        <row r="363">
          <cell r="A363">
            <v>2</v>
          </cell>
          <cell r="B363">
            <v>2</v>
          </cell>
          <cell r="C363">
            <v>893</v>
          </cell>
          <cell r="D363" t="str">
            <v xml:space="preserve">  </v>
          </cell>
          <cell r="E363" t="str">
            <v xml:space="preserve">    </v>
          </cell>
          <cell r="F363" t="str">
            <v xml:space="preserve">   </v>
          </cell>
          <cell r="G363">
            <v>22893</v>
          </cell>
          <cell r="H363">
            <v>154603.01999999999</v>
          </cell>
          <cell r="I363">
            <v>77705.09</v>
          </cell>
          <cell r="J363">
            <v>45344.62</v>
          </cell>
          <cell r="K363">
            <v>31553.31</v>
          </cell>
          <cell r="L363">
            <v>0</v>
          </cell>
        </row>
        <row r="364">
          <cell r="A364">
            <v>1</v>
          </cell>
          <cell r="B364">
            <v>2</v>
          </cell>
          <cell r="C364">
            <v>894</v>
          </cell>
          <cell r="D364" t="str">
            <v xml:space="preserve">  </v>
          </cell>
          <cell r="E364" t="str">
            <v xml:space="preserve">    </v>
          </cell>
          <cell r="F364" t="str">
            <v xml:space="preserve">   </v>
          </cell>
          <cell r="G364">
            <v>12894</v>
          </cell>
          <cell r="H364">
            <v>0</v>
          </cell>
          <cell r="I364">
            <v>0</v>
          </cell>
          <cell r="J364">
            <v>0</v>
          </cell>
          <cell r="K364">
            <v>0</v>
          </cell>
          <cell r="L364">
            <v>0</v>
          </cell>
        </row>
        <row r="365">
          <cell r="A365">
            <v>2</v>
          </cell>
          <cell r="B365">
            <v>2</v>
          </cell>
          <cell r="C365">
            <v>894</v>
          </cell>
          <cell r="D365" t="str">
            <v xml:space="preserve">  </v>
          </cell>
          <cell r="E365" t="str">
            <v xml:space="preserve">    </v>
          </cell>
          <cell r="F365" t="str">
            <v xml:space="preserve">   </v>
          </cell>
          <cell r="G365">
            <v>22894</v>
          </cell>
          <cell r="H365">
            <v>27.63</v>
          </cell>
          <cell r="I365">
            <v>0</v>
          </cell>
          <cell r="J365">
            <v>0</v>
          </cell>
          <cell r="K365">
            <v>27.63</v>
          </cell>
          <cell r="L365">
            <v>0</v>
          </cell>
        </row>
        <row r="366">
          <cell r="A366">
            <v>1</v>
          </cell>
          <cell r="B366">
            <v>2</v>
          </cell>
          <cell r="C366">
            <v>901</v>
          </cell>
          <cell r="D366" t="str">
            <v xml:space="preserve">  </v>
          </cell>
          <cell r="E366" t="str">
            <v xml:space="preserve">    </v>
          </cell>
          <cell r="F366" t="str">
            <v xml:space="preserve">   </v>
          </cell>
          <cell r="G366">
            <v>12901</v>
          </cell>
          <cell r="H366">
            <v>6823.11</v>
          </cell>
          <cell r="I366">
            <v>6255.52</v>
          </cell>
          <cell r="J366">
            <v>567.59</v>
          </cell>
          <cell r="K366">
            <v>0</v>
          </cell>
          <cell r="L366">
            <v>0</v>
          </cell>
        </row>
        <row r="367">
          <cell r="A367">
            <v>2</v>
          </cell>
          <cell r="B367">
            <v>2</v>
          </cell>
          <cell r="C367">
            <v>901</v>
          </cell>
          <cell r="D367" t="str">
            <v xml:space="preserve">  </v>
          </cell>
          <cell r="E367" t="str">
            <v xml:space="preserve">    </v>
          </cell>
          <cell r="F367" t="str">
            <v xml:space="preserve">   </v>
          </cell>
          <cell r="G367">
            <v>22901</v>
          </cell>
          <cell r="H367">
            <v>102808.86</v>
          </cell>
          <cell r="I367">
            <v>98857.54</v>
          </cell>
          <cell r="J367">
            <v>3543.59</v>
          </cell>
          <cell r="K367">
            <v>407.73</v>
          </cell>
          <cell r="L367">
            <v>0</v>
          </cell>
        </row>
        <row r="368">
          <cell r="A368">
            <v>1</v>
          </cell>
          <cell r="B368">
            <v>2</v>
          </cell>
          <cell r="C368">
            <v>902</v>
          </cell>
          <cell r="D368" t="str">
            <v xml:space="preserve">  </v>
          </cell>
          <cell r="E368" t="str">
            <v xml:space="preserve">    </v>
          </cell>
          <cell r="F368" t="str">
            <v xml:space="preserve">   </v>
          </cell>
          <cell r="G368">
            <v>12902</v>
          </cell>
          <cell r="H368">
            <v>51164.06</v>
          </cell>
          <cell r="I368">
            <v>0</v>
          </cell>
          <cell r="J368">
            <v>44721.8</v>
          </cell>
          <cell r="K368">
            <v>6442.26</v>
          </cell>
          <cell r="L368">
            <v>0</v>
          </cell>
        </row>
        <row r="369">
          <cell r="A369">
            <v>2</v>
          </cell>
          <cell r="B369">
            <v>2</v>
          </cell>
          <cell r="C369">
            <v>902</v>
          </cell>
          <cell r="D369" t="str">
            <v xml:space="preserve">  </v>
          </cell>
          <cell r="E369" t="str">
            <v xml:space="preserve">    </v>
          </cell>
          <cell r="F369" t="str">
            <v xml:space="preserve">   </v>
          </cell>
          <cell r="G369">
            <v>22902</v>
          </cell>
          <cell r="H369">
            <v>548120.23</v>
          </cell>
          <cell r="I369">
            <v>8484.6200000000008</v>
          </cell>
          <cell r="J369">
            <v>463951.78</v>
          </cell>
          <cell r="K369">
            <v>75683.83</v>
          </cell>
          <cell r="L369">
            <v>0</v>
          </cell>
        </row>
        <row r="370">
          <cell r="A370">
            <v>1</v>
          </cell>
          <cell r="B370">
            <v>2</v>
          </cell>
          <cell r="C370">
            <v>904</v>
          </cell>
          <cell r="D370" t="str">
            <v xml:space="preserve">  </v>
          </cell>
          <cell r="E370" t="str">
            <v xml:space="preserve">    </v>
          </cell>
          <cell r="F370" t="str">
            <v xml:space="preserve">   </v>
          </cell>
          <cell r="G370">
            <v>12904</v>
          </cell>
          <cell r="H370">
            <v>23892</v>
          </cell>
          <cell r="I370">
            <v>0</v>
          </cell>
          <cell r="J370">
            <v>16666</v>
          </cell>
          <cell r="K370">
            <v>7226</v>
          </cell>
          <cell r="L370">
            <v>0</v>
          </cell>
        </row>
        <row r="371">
          <cell r="A371">
            <v>2</v>
          </cell>
          <cell r="B371">
            <v>2</v>
          </cell>
          <cell r="C371">
            <v>904</v>
          </cell>
          <cell r="D371" t="str">
            <v xml:space="preserve">  </v>
          </cell>
          <cell r="E371" t="str">
            <v xml:space="preserve">    </v>
          </cell>
          <cell r="F371" t="str">
            <v xml:space="preserve">   </v>
          </cell>
          <cell r="G371">
            <v>22904</v>
          </cell>
          <cell r="H371">
            <v>286704</v>
          </cell>
          <cell r="I371">
            <v>0</v>
          </cell>
          <cell r="J371">
            <v>199992</v>
          </cell>
          <cell r="K371">
            <v>86712</v>
          </cell>
          <cell r="L371">
            <v>0</v>
          </cell>
        </row>
        <row r="372">
          <cell r="A372">
            <v>1</v>
          </cell>
          <cell r="B372">
            <v>2</v>
          </cell>
          <cell r="C372">
            <v>905</v>
          </cell>
          <cell r="D372" t="str">
            <v xml:space="preserve">  </v>
          </cell>
          <cell r="E372" t="str">
            <v xml:space="preserve">    </v>
          </cell>
          <cell r="F372" t="str">
            <v xml:space="preserve">   </v>
          </cell>
          <cell r="G372">
            <v>12905</v>
          </cell>
          <cell r="H372">
            <v>5330</v>
          </cell>
          <cell r="I372">
            <v>5330</v>
          </cell>
          <cell r="J372">
            <v>0</v>
          </cell>
          <cell r="K372">
            <v>0</v>
          </cell>
          <cell r="L372">
            <v>0</v>
          </cell>
        </row>
        <row r="373">
          <cell r="A373">
            <v>2</v>
          </cell>
          <cell r="B373">
            <v>2</v>
          </cell>
          <cell r="C373">
            <v>905</v>
          </cell>
          <cell r="D373" t="str">
            <v xml:space="preserve">  </v>
          </cell>
          <cell r="E373" t="str">
            <v xml:space="preserve">    </v>
          </cell>
          <cell r="F373" t="str">
            <v xml:space="preserve">   </v>
          </cell>
          <cell r="G373">
            <v>22905</v>
          </cell>
          <cell r="H373">
            <v>66257.33</v>
          </cell>
          <cell r="I373">
            <v>66257.33</v>
          </cell>
          <cell r="J373">
            <v>0</v>
          </cell>
          <cell r="K373">
            <v>0</v>
          </cell>
          <cell r="L373">
            <v>0</v>
          </cell>
        </row>
        <row r="374">
          <cell r="A374">
            <v>1</v>
          </cell>
          <cell r="B374">
            <v>2</v>
          </cell>
          <cell r="C374">
            <v>908</v>
          </cell>
          <cell r="D374" t="str">
            <v xml:space="preserve">  </v>
          </cell>
          <cell r="E374" t="str">
            <v xml:space="preserve">    </v>
          </cell>
          <cell r="F374" t="str">
            <v xml:space="preserve">   </v>
          </cell>
          <cell r="G374">
            <v>12908</v>
          </cell>
          <cell r="H374">
            <v>43376.08</v>
          </cell>
          <cell r="I374">
            <v>3643.02</v>
          </cell>
          <cell r="J374">
            <v>23976.639999999999</v>
          </cell>
          <cell r="K374">
            <v>15756.42</v>
          </cell>
          <cell r="L374">
            <v>0</v>
          </cell>
        </row>
        <row r="375">
          <cell r="A375">
            <v>2</v>
          </cell>
          <cell r="B375">
            <v>2</v>
          </cell>
          <cell r="C375">
            <v>908</v>
          </cell>
          <cell r="D375" t="str">
            <v xml:space="preserve">  </v>
          </cell>
          <cell r="E375" t="str">
            <v xml:space="preserve">    </v>
          </cell>
          <cell r="F375" t="str">
            <v xml:space="preserve">   </v>
          </cell>
          <cell r="G375">
            <v>22908</v>
          </cell>
          <cell r="H375">
            <v>406500.52</v>
          </cell>
          <cell r="I375">
            <v>35160.04</v>
          </cell>
          <cell r="J375">
            <v>269058.56</v>
          </cell>
          <cell r="K375">
            <v>102281.92</v>
          </cell>
          <cell r="L375">
            <v>0</v>
          </cell>
        </row>
        <row r="376">
          <cell r="A376">
            <v>1</v>
          </cell>
          <cell r="B376">
            <v>2</v>
          </cell>
          <cell r="C376">
            <v>909</v>
          </cell>
          <cell r="D376" t="str">
            <v xml:space="preserve">  </v>
          </cell>
          <cell r="E376" t="str">
            <v xml:space="preserve">    </v>
          </cell>
          <cell r="F376" t="str">
            <v xml:space="preserve">   </v>
          </cell>
          <cell r="G376">
            <v>12909</v>
          </cell>
          <cell r="H376">
            <v>2082.09</v>
          </cell>
          <cell r="I376">
            <v>2082.09</v>
          </cell>
          <cell r="J376">
            <v>0</v>
          </cell>
          <cell r="K376">
            <v>0</v>
          </cell>
          <cell r="L376">
            <v>0</v>
          </cell>
        </row>
        <row r="377">
          <cell r="A377">
            <v>2</v>
          </cell>
          <cell r="B377">
            <v>2</v>
          </cell>
          <cell r="C377">
            <v>909</v>
          </cell>
          <cell r="D377" t="str">
            <v xml:space="preserve">  </v>
          </cell>
          <cell r="E377" t="str">
            <v xml:space="preserve">    </v>
          </cell>
          <cell r="F377" t="str">
            <v xml:space="preserve">   </v>
          </cell>
          <cell r="G377">
            <v>22909</v>
          </cell>
          <cell r="H377">
            <v>41694.120000000003</v>
          </cell>
          <cell r="I377">
            <v>41652.720000000001</v>
          </cell>
          <cell r="J377">
            <v>41.4</v>
          </cell>
          <cell r="K377">
            <v>0</v>
          </cell>
          <cell r="L377">
            <v>0</v>
          </cell>
        </row>
        <row r="378">
          <cell r="A378">
            <v>1</v>
          </cell>
          <cell r="B378">
            <v>2</v>
          </cell>
          <cell r="C378">
            <v>912</v>
          </cell>
          <cell r="D378" t="str">
            <v xml:space="preserve">  </v>
          </cell>
          <cell r="E378" t="str">
            <v xml:space="preserve">    </v>
          </cell>
          <cell r="F378" t="str">
            <v xml:space="preserve">   </v>
          </cell>
          <cell r="G378">
            <v>12912</v>
          </cell>
          <cell r="H378">
            <v>34583.24</v>
          </cell>
          <cell r="I378">
            <v>455.24</v>
          </cell>
          <cell r="J378">
            <v>34128</v>
          </cell>
          <cell r="K378">
            <v>0</v>
          </cell>
          <cell r="L378">
            <v>0</v>
          </cell>
        </row>
        <row r="379">
          <cell r="A379">
            <v>2</v>
          </cell>
          <cell r="B379">
            <v>2</v>
          </cell>
          <cell r="C379">
            <v>912</v>
          </cell>
          <cell r="D379" t="str">
            <v xml:space="preserve">  </v>
          </cell>
          <cell r="E379" t="str">
            <v xml:space="preserve">    </v>
          </cell>
          <cell r="F379" t="str">
            <v xml:space="preserve">   </v>
          </cell>
          <cell r="G379">
            <v>22912</v>
          </cell>
          <cell r="H379">
            <v>242082.7</v>
          </cell>
          <cell r="I379">
            <v>3244.16</v>
          </cell>
          <cell r="J379">
            <v>238838.54</v>
          </cell>
          <cell r="K379">
            <v>0</v>
          </cell>
          <cell r="L379">
            <v>0</v>
          </cell>
        </row>
        <row r="380">
          <cell r="A380">
            <v>1</v>
          </cell>
          <cell r="B380">
            <v>2</v>
          </cell>
          <cell r="C380">
            <v>913</v>
          </cell>
          <cell r="D380" t="str">
            <v xml:space="preserve">  </v>
          </cell>
          <cell r="E380" t="str">
            <v xml:space="preserve">    </v>
          </cell>
          <cell r="F380" t="str">
            <v xml:space="preserve">   </v>
          </cell>
          <cell r="G380">
            <v>12913</v>
          </cell>
          <cell r="H380">
            <v>0</v>
          </cell>
          <cell r="I380">
            <v>0</v>
          </cell>
          <cell r="J380">
            <v>0</v>
          </cell>
          <cell r="K380">
            <v>0</v>
          </cell>
          <cell r="L380">
            <v>0</v>
          </cell>
        </row>
        <row r="381">
          <cell r="A381">
            <v>2</v>
          </cell>
          <cell r="B381">
            <v>2</v>
          </cell>
          <cell r="C381">
            <v>913</v>
          </cell>
          <cell r="D381" t="str">
            <v xml:space="preserve">  </v>
          </cell>
          <cell r="E381" t="str">
            <v xml:space="preserve">    </v>
          </cell>
          <cell r="F381" t="str">
            <v xml:space="preserve">   </v>
          </cell>
          <cell r="G381">
            <v>22913</v>
          </cell>
          <cell r="H381">
            <v>67.900000000000006</v>
          </cell>
          <cell r="I381">
            <v>0</v>
          </cell>
          <cell r="J381">
            <v>67.900000000000006</v>
          </cell>
          <cell r="K381">
            <v>0</v>
          </cell>
          <cell r="L381">
            <v>0</v>
          </cell>
        </row>
        <row r="382">
          <cell r="A382">
            <v>1</v>
          </cell>
          <cell r="B382">
            <v>2</v>
          </cell>
          <cell r="C382">
            <v>920</v>
          </cell>
          <cell r="D382" t="str">
            <v xml:space="preserve">  </v>
          </cell>
          <cell r="E382" t="str">
            <v xml:space="preserve">    </v>
          </cell>
          <cell r="F382" t="str">
            <v xml:space="preserve">   </v>
          </cell>
          <cell r="G382">
            <v>12920</v>
          </cell>
          <cell r="H382">
            <v>167333.07</v>
          </cell>
          <cell r="I382">
            <v>157646.25</v>
          </cell>
          <cell r="J382">
            <v>9686.82</v>
          </cell>
          <cell r="K382">
            <v>0</v>
          </cell>
          <cell r="L382">
            <v>0</v>
          </cell>
        </row>
        <row r="383">
          <cell r="A383">
            <v>2</v>
          </cell>
          <cell r="B383">
            <v>2</v>
          </cell>
          <cell r="C383">
            <v>920</v>
          </cell>
          <cell r="D383" t="str">
            <v xml:space="preserve">  </v>
          </cell>
          <cell r="E383" t="str">
            <v xml:space="preserve">    </v>
          </cell>
          <cell r="F383" t="str">
            <v xml:space="preserve">   </v>
          </cell>
          <cell r="G383">
            <v>22920</v>
          </cell>
          <cell r="H383">
            <v>1783110.39</v>
          </cell>
          <cell r="I383">
            <v>1690809.67</v>
          </cell>
          <cell r="J383">
            <v>92170.59</v>
          </cell>
          <cell r="K383">
            <v>130.13</v>
          </cell>
          <cell r="L383">
            <v>0</v>
          </cell>
        </row>
        <row r="384">
          <cell r="A384">
            <v>1</v>
          </cell>
          <cell r="B384">
            <v>2</v>
          </cell>
          <cell r="C384">
            <v>921</v>
          </cell>
          <cell r="D384" t="str">
            <v xml:space="preserve">  </v>
          </cell>
          <cell r="E384" t="str">
            <v xml:space="preserve">    </v>
          </cell>
          <cell r="F384" t="str">
            <v xml:space="preserve">   </v>
          </cell>
          <cell r="G384">
            <v>12921</v>
          </cell>
          <cell r="H384">
            <v>191419.69</v>
          </cell>
          <cell r="I384">
            <v>169254.58</v>
          </cell>
          <cell r="J384">
            <v>20865.66</v>
          </cell>
          <cell r="K384">
            <v>1299.45</v>
          </cell>
          <cell r="L384">
            <v>0</v>
          </cell>
        </row>
        <row r="385">
          <cell r="A385">
            <v>2</v>
          </cell>
          <cell r="B385">
            <v>2</v>
          </cell>
          <cell r="C385">
            <v>921</v>
          </cell>
          <cell r="D385" t="str">
            <v xml:space="preserve">  </v>
          </cell>
          <cell r="E385" t="str">
            <v xml:space="preserve">    </v>
          </cell>
          <cell r="F385" t="str">
            <v xml:space="preserve">   </v>
          </cell>
          <cell r="G385">
            <v>22921</v>
          </cell>
          <cell r="H385">
            <v>1054302.97</v>
          </cell>
          <cell r="I385">
            <v>778736.38</v>
          </cell>
          <cell r="J385">
            <v>255687.13</v>
          </cell>
          <cell r="K385">
            <v>19879.46</v>
          </cell>
          <cell r="L385">
            <v>0</v>
          </cell>
        </row>
        <row r="386">
          <cell r="A386">
            <v>1</v>
          </cell>
          <cell r="B386">
            <v>2</v>
          </cell>
          <cell r="C386">
            <v>922</v>
          </cell>
          <cell r="D386" t="str">
            <v xml:space="preserve">  </v>
          </cell>
          <cell r="E386" t="str">
            <v xml:space="preserve">    </v>
          </cell>
          <cell r="F386" t="str">
            <v xml:space="preserve">   </v>
          </cell>
          <cell r="G386">
            <v>12922</v>
          </cell>
          <cell r="H386">
            <v>-261.02</v>
          </cell>
          <cell r="I386">
            <v>-261.02</v>
          </cell>
          <cell r="J386">
            <v>0</v>
          </cell>
          <cell r="K386">
            <v>0</v>
          </cell>
          <cell r="L386">
            <v>0</v>
          </cell>
        </row>
        <row r="387">
          <cell r="A387">
            <v>2</v>
          </cell>
          <cell r="B387">
            <v>2</v>
          </cell>
          <cell r="C387">
            <v>922</v>
          </cell>
          <cell r="D387" t="str">
            <v xml:space="preserve">  </v>
          </cell>
          <cell r="E387" t="str">
            <v xml:space="preserve">    </v>
          </cell>
          <cell r="F387" t="str">
            <v xml:space="preserve">   </v>
          </cell>
          <cell r="G387">
            <v>22922</v>
          </cell>
          <cell r="H387">
            <v>-1246.8800000000001</v>
          </cell>
          <cell r="I387">
            <v>-1246.8800000000001</v>
          </cell>
          <cell r="J387">
            <v>0</v>
          </cell>
          <cell r="K387">
            <v>0</v>
          </cell>
          <cell r="L387">
            <v>0</v>
          </cell>
        </row>
        <row r="388">
          <cell r="A388">
            <v>1</v>
          </cell>
          <cell r="B388">
            <v>2</v>
          </cell>
          <cell r="C388">
            <v>923</v>
          </cell>
          <cell r="D388" t="str">
            <v xml:space="preserve">  </v>
          </cell>
          <cell r="E388" t="str">
            <v xml:space="preserve">    </v>
          </cell>
          <cell r="F388" t="str">
            <v xml:space="preserve">   </v>
          </cell>
          <cell r="G388">
            <v>12923</v>
          </cell>
          <cell r="H388">
            <v>89678.03</v>
          </cell>
          <cell r="I388">
            <v>89678.03</v>
          </cell>
          <cell r="J388">
            <v>0</v>
          </cell>
          <cell r="K388">
            <v>0</v>
          </cell>
          <cell r="L388">
            <v>0</v>
          </cell>
        </row>
        <row r="389">
          <cell r="A389">
            <v>2</v>
          </cell>
          <cell r="B389">
            <v>2</v>
          </cell>
          <cell r="C389">
            <v>923</v>
          </cell>
          <cell r="D389" t="str">
            <v xml:space="preserve">  </v>
          </cell>
          <cell r="E389" t="str">
            <v xml:space="preserve">    </v>
          </cell>
          <cell r="F389" t="str">
            <v xml:space="preserve">   </v>
          </cell>
          <cell r="G389">
            <v>22923</v>
          </cell>
          <cell r="H389">
            <v>898076.84</v>
          </cell>
          <cell r="I389">
            <v>896485.12</v>
          </cell>
          <cell r="J389">
            <v>1591.72</v>
          </cell>
          <cell r="K389">
            <v>0</v>
          </cell>
          <cell r="L389">
            <v>0</v>
          </cell>
        </row>
        <row r="390">
          <cell r="A390">
            <v>1</v>
          </cell>
          <cell r="B390">
            <v>2</v>
          </cell>
          <cell r="C390">
            <v>924</v>
          </cell>
          <cell r="D390" t="str">
            <v xml:space="preserve">  </v>
          </cell>
          <cell r="E390" t="str">
            <v xml:space="preserve">    </v>
          </cell>
          <cell r="F390" t="str">
            <v xml:space="preserve">   </v>
          </cell>
          <cell r="G390">
            <v>12924</v>
          </cell>
          <cell r="H390">
            <v>2265.44</v>
          </cell>
          <cell r="I390">
            <v>2265.44</v>
          </cell>
          <cell r="J390">
            <v>0</v>
          </cell>
          <cell r="K390">
            <v>0</v>
          </cell>
          <cell r="L390">
            <v>0</v>
          </cell>
        </row>
        <row r="391">
          <cell r="A391">
            <v>2</v>
          </cell>
          <cell r="B391">
            <v>2</v>
          </cell>
          <cell r="C391">
            <v>924</v>
          </cell>
          <cell r="D391" t="str">
            <v xml:space="preserve">  </v>
          </cell>
          <cell r="E391" t="str">
            <v xml:space="preserve">    </v>
          </cell>
          <cell r="F391" t="str">
            <v xml:space="preserve">   </v>
          </cell>
          <cell r="G391">
            <v>22924</v>
          </cell>
          <cell r="H391">
            <v>29817.7</v>
          </cell>
          <cell r="I391">
            <v>29817.7</v>
          </cell>
          <cell r="J391">
            <v>0</v>
          </cell>
          <cell r="K391">
            <v>0</v>
          </cell>
          <cell r="L391">
            <v>0</v>
          </cell>
        </row>
        <row r="392">
          <cell r="A392">
            <v>1</v>
          </cell>
          <cell r="B392">
            <v>2</v>
          </cell>
          <cell r="C392">
            <v>925</v>
          </cell>
          <cell r="D392" t="str">
            <v xml:space="preserve">  </v>
          </cell>
          <cell r="E392" t="str">
            <v xml:space="preserve">    </v>
          </cell>
          <cell r="F392" t="str">
            <v xml:space="preserve">   </v>
          </cell>
          <cell r="G392">
            <v>12925</v>
          </cell>
          <cell r="H392">
            <v>81065.38</v>
          </cell>
          <cell r="I392">
            <v>81018.12</v>
          </cell>
          <cell r="J392">
            <v>5.59</v>
          </cell>
          <cell r="K392">
            <v>41.67</v>
          </cell>
          <cell r="L392">
            <v>0</v>
          </cell>
        </row>
        <row r="393">
          <cell r="A393">
            <v>2</v>
          </cell>
          <cell r="B393">
            <v>2</v>
          </cell>
          <cell r="C393">
            <v>925</v>
          </cell>
          <cell r="D393" t="str">
            <v xml:space="preserve">  </v>
          </cell>
          <cell r="E393" t="str">
            <v xml:space="preserve">    </v>
          </cell>
          <cell r="F393" t="str">
            <v xml:space="preserve">   </v>
          </cell>
          <cell r="G393">
            <v>22925</v>
          </cell>
          <cell r="H393">
            <v>122402.18</v>
          </cell>
          <cell r="I393">
            <v>116213.62</v>
          </cell>
          <cell r="J393">
            <v>890.55</v>
          </cell>
          <cell r="K393">
            <v>5298.01</v>
          </cell>
          <cell r="L393">
            <v>0</v>
          </cell>
        </row>
        <row r="394">
          <cell r="A394">
            <v>1</v>
          </cell>
          <cell r="B394">
            <v>2</v>
          </cell>
          <cell r="C394">
            <v>926</v>
          </cell>
          <cell r="D394" t="str">
            <v xml:space="preserve">  </v>
          </cell>
          <cell r="E394" t="str">
            <v xml:space="preserve">    </v>
          </cell>
          <cell r="F394" t="str">
            <v xml:space="preserve">   </v>
          </cell>
          <cell r="G394">
            <v>12926</v>
          </cell>
          <cell r="H394">
            <v>27883.39</v>
          </cell>
          <cell r="I394">
            <v>22473.7</v>
          </cell>
          <cell r="J394">
            <v>4427.88</v>
          </cell>
          <cell r="K394">
            <v>981.81</v>
          </cell>
          <cell r="L394">
            <v>0</v>
          </cell>
        </row>
        <row r="395">
          <cell r="A395">
            <v>2</v>
          </cell>
          <cell r="B395">
            <v>2</v>
          </cell>
          <cell r="C395">
            <v>926</v>
          </cell>
          <cell r="D395" t="str">
            <v xml:space="preserve">  </v>
          </cell>
          <cell r="E395" t="str">
            <v xml:space="preserve">    </v>
          </cell>
          <cell r="F395" t="str">
            <v xml:space="preserve">   </v>
          </cell>
          <cell r="G395">
            <v>22926</v>
          </cell>
          <cell r="H395">
            <v>258406.98</v>
          </cell>
          <cell r="I395">
            <v>186685.65</v>
          </cell>
          <cell r="J395">
            <v>50661.96</v>
          </cell>
          <cell r="K395">
            <v>21059.37</v>
          </cell>
          <cell r="L395">
            <v>0</v>
          </cell>
        </row>
        <row r="396">
          <cell r="A396">
            <v>1</v>
          </cell>
          <cell r="B396">
            <v>2</v>
          </cell>
          <cell r="C396">
            <v>930</v>
          </cell>
          <cell r="D396" t="str">
            <v xml:space="preserve">  </v>
          </cell>
          <cell r="E396" t="str">
            <v xml:space="preserve">    </v>
          </cell>
          <cell r="F396" t="str">
            <v xml:space="preserve">   </v>
          </cell>
          <cell r="G396">
            <v>12930</v>
          </cell>
          <cell r="H396">
            <v>20726.86</v>
          </cell>
          <cell r="I396">
            <v>20024.87</v>
          </cell>
          <cell r="J396">
            <v>590</v>
          </cell>
          <cell r="K396">
            <v>111.99</v>
          </cell>
          <cell r="L396">
            <v>0</v>
          </cell>
        </row>
        <row r="397">
          <cell r="A397">
            <v>2</v>
          </cell>
          <cell r="B397">
            <v>2</v>
          </cell>
          <cell r="C397">
            <v>930</v>
          </cell>
          <cell r="D397" t="str">
            <v xml:space="preserve">  </v>
          </cell>
          <cell r="E397" t="str">
            <v xml:space="preserve">    </v>
          </cell>
          <cell r="F397" t="str">
            <v xml:space="preserve">   </v>
          </cell>
          <cell r="G397">
            <v>22930</v>
          </cell>
          <cell r="H397">
            <v>218124.16</v>
          </cell>
          <cell r="I397">
            <v>203947.16</v>
          </cell>
          <cell r="J397">
            <v>13792.52</v>
          </cell>
          <cell r="K397">
            <v>384.48</v>
          </cell>
          <cell r="L397">
            <v>0</v>
          </cell>
        </row>
        <row r="398">
          <cell r="A398">
            <v>1</v>
          </cell>
          <cell r="B398">
            <v>2</v>
          </cell>
          <cell r="C398">
            <v>931</v>
          </cell>
          <cell r="D398" t="str">
            <v xml:space="preserve">  </v>
          </cell>
          <cell r="E398" t="str">
            <v xml:space="preserve">    </v>
          </cell>
          <cell r="F398" t="str">
            <v xml:space="preserve">   </v>
          </cell>
          <cell r="G398">
            <v>12931</v>
          </cell>
          <cell r="H398">
            <v>56672.51</v>
          </cell>
          <cell r="I398">
            <v>52002.51</v>
          </cell>
          <cell r="J398">
            <v>4670</v>
          </cell>
          <cell r="K398">
            <v>0</v>
          </cell>
          <cell r="L398">
            <v>0</v>
          </cell>
        </row>
        <row r="399">
          <cell r="A399">
            <v>2</v>
          </cell>
          <cell r="B399">
            <v>2</v>
          </cell>
          <cell r="C399">
            <v>931</v>
          </cell>
          <cell r="D399" t="str">
            <v xml:space="preserve">  </v>
          </cell>
          <cell r="E399" t="str">
            <v xml:space="preserve">    </v>
          </cell>
          <cell r="F399" t="str">
            <v xml:space="preserve">   </v>
          </cell>
          <cell r="G399">
            <v>22931</v>
          </cell>
          <cell r="H399">
            <v>638851.39</v>
          </cell>
          <cell r="I399">
            <v>583791.39</v>
          </cell>
          <cell r="J399">
            <v>55060</v>
          </cell>
          <cell r="K399">
            <v>0</v>
          </cell>
          <cell r="L399">
            <v>0</v>
          </cell>
        </row>
        <row r="400">
          <cell r="A400">
            <v>1</v>
          </cell>
          <cell r="B400">
            <v>2</v>
          </cell>
          <cell r="C400">
            <v>935</v>
          </cell>
          <cell r="D400" t="str">
            <v xml:space="preserve">  </v>
          </cell>
          <cell r="E400" t="str">
            <v xml:space="preserve">    </v>
          </cell>
          <cell r="F400" t="str">
            <v xml:space="preserve">   </v>
          </cell>
          <cell r="G400">
            <v>12935</v>
          </cell>
          <cell r="H400">
            <v>27628.639999999999</v>
          </cell>
          <cell r="I400">
            <v>19541.12</v>
          </cell>
          <cell r="J400">
            <v>3586.43</v>
          </cell>
          <cell r="K400">
            <v>4501.09</v>
          </cell>
          <cell r="L400">
            <v>0</v>
          </cell>
        </row>
        <row r="401">
          <cell r="A401">
            <v>2</v>
          </cell>
          <cell r="B401">
            <v>2</v>
          </cell>
          <cell r="C401">
            <v>935</v>
          </cell>
          <cell r="D401" t="str">
            <v xml:space="preserve">  </v>
          </cell>
          <cell r="E401" t="str">
            <v xml:space="preserve">    </v>
          </cell>
          <cell r="F401" t="str">
            <v xml:space="preserve">   </v>
          </cell>
          <cell r="G401">
            <v>22935</v>
          </cell>
          <cell r="H401">
            <v>189875.12</v>
          </cell>
          <cell r="I401">
            <v>119044.64</v>
          </cell>
          <cell r="J401">
            <v>38330.800000000003</v>
          </cell>
          <cell r="K401">
            <v>32499.68</v>
          </cell>
          <cell r="L401">
            <v>0</v>
          </cell>
        </row>
        <row r="402">
          <cell r="A402">
            <v>1</v>
          </cell>
          <cell r="B402">
            <v>0</v>
          </cell>
          <cell r="C402">
            <v>411</v>
          </cell>
          <cell r="D402" t="str">
            <v>4X</v>
          </cell>
          <cell r="E402" t="str">
            <v xml:space="preserve">    </v>
          </cell>
          <cell r="F402" t="str">
            <v xml:space="preserve">   </v>
          </cell>
          <cell r="G402" t="str">
            <v xml:space="preserve">104114X       </v>
          </cell>
          <cell r="H402">
            <v>-4045</v>
          </cell>
          <cell r="I402">
            <v>0</v>
          </cell>
          <cell r="J402">
            <v>-2162</v>
          </cell>
          <cell r="K402">
            <v>-1883</v>
          </cell>
          <cell r="L402">
            <v>0</v>
          </cell>
        </row>
        <row r="403">
          <cell r="A403">
            <v>2</v>
          </cell>
          <cell r="B403">
            <v>0</v>
          </cell>
          <cell r="C403">
            <v>411</v>
          </cell>
          <cell r="D403" t="str">
            <v>4X</v>
          </cell>
          <cell r="E403" t="str">
            <v xml:space="preserve">    </v>
          </cell>
          <cell r="F403" t="str">
            <v xml:space="preserve">   </v>
          </cell>
          <cell r="G403" t="str">
            <v xml:space="preserve">204114X       </v>
          </cell>
          <cell r="H403">
            <v>-48540</v>
          </cell>
          <cell r="I403">
            <v>0</v>
          </cell>
          <cell r="J403">
            <v>-25944</v>
          </cell>
          <cell r="K403">
            <v>-22596</v>
          </cell>
          <cell r="L403">
            <v>0</v>
          </cell>
        </row>
        <row r="404">
          <cell r="A404">
            <v>1</v>
          </cell>
          <cell r="B404">
            <v>0</v>
          </cell>
          <cell r="C404">
            <v>442</v>
          </cell>
          <cell r="D404" t="str">
            <v>2X</v>
          </cell>
          <cell r="E404" t="str">
            <v xml:space="preserve">    </v>
          </cell>
          <cell r="F404" t="str">
            <v xml:space="preserve">   </v>
          </cell>
          <cell r="G404" t="str">
            <v xml:space="preserve">104422X       </v>
          </cell>
          <cell r="H404">
            <v>-13257893.550000001</v>
          </cell>
          <cell r="I404">
            <v>0</v>
          </cell>
          <cell r="J404">
            <v>-9212851.6799999997</v>
          </cell>
          <cell r="K404">
            <v>-4045041.87</v>
          </cell>
          <cell r="L404">
            <v>0</v>
          </cell>
        </row>
        <row r="405">
          <cell r="A405">
            <v>2</v>
          </cell>
          <cell r="B405">
            <v>0</v>
          </cell>
          <cell r="C405">
            <v>442</v>
          </cell>
          <cell r="D405" t="str">
            <v>2X</v>
          </cell>
          <cell r="E405" t="str">
            <v xml:space="preserve">    </v>
          </cell>
          <cell r="F405" t="str">
            <v xml:space="preserve">   </v>
          </cell>
          <cell r="G405" t="str">
            <v xml:space="preserve">204422X       </v>
          </cell>
          <cell r="H405">
            <v>-149240050.38999999</v>
          </cell>
          <cell r="I405">
            <v>0</v>
          </cell>
          <cell r="J405">
            <v>-103751349.39</v>
          </cell>
          <cell r="K405">
            <v>-45488701</v>
          </cell>
          <cell r="L405">
            <v>0</v>
          </cell>
        </row>
        <row r="406">
          <cell r="A406">
            <v>1</v>
          </cell>
          <cell r="B406">
            <v>0</v>
          </cell>
          <cell r="C406">
            <v>442</v>
          </cell>
          <cell r="D406" t="str">
            <v>3X</v>
          </cell>
          <cell r="E406" t="str">
            <v xml:space="preserve">    </v>
          </cell>
          <cell r="F406" t="str">
            <v xml:space="preserve">   </v>
          </cell>
          <cell r="G406" t="str">
            <v xml:space="preserve">104423X       </v>
          </cell>
          <cell r="H406">
            <v>-5058394.6500000004</v>
          </cell>
          <cell r="I406">
            <v>-1438730</v>
          </cell>
          <cell r="J406">
            <v>-2083209.52</v>
          </cell>
          <cell r="K406">
            <v>-1536455.13</v>
          </cell>
          <cell r="L406">
            <v>0</v>
          </cell>
        </row>
        <row r="407">
          <cell r="A407">
            <v>2</v>
          </cell>
          <cell r="B407">
            <v>0</v>
          </cell>
          <cell r="C407">
            <v>442</v>
          </cell>
          <cell r="D407" t="str">
            <v>3X</v>
          </cell>
          <cell r="E407" t="str">
            <v xml:space="preserve">    </v>
          </cell>
          <cell r="F407" t="str">
            <v xml:space="preserve">   </v>
          </cell>
          <cell r="G407" t="str">
            <v xml:space="preserve">204423X       </v>
          </cell>
          <cell r="H407">
            <v>-59215031.579999998</v>
          </cell>
          <cell r="I407">
            <v>-16840065.370000001</v>
          </cell>
          <cell r="J407">
            <v>-23397866.100000001</v>
          </cell>
          <cell r="K407">
            <v>-18977100.109999999</v>
          </cell>
          <cell r="L407">
            <v>0</v>
          </cell>
        </row>
        <row r="408">
          <cell r="A408">
            <v>1</v>
          </cell>
          <cell r="B408">
            <v>0</v>
          </cell>
          <cell r="C408">
            <v>442</v>
          </cell>
          <cell r="D408" t="str">
            <v>4X</v>
          </cell>
          <cell r="E408" t="str">
            <v xml:space="preserve">    </v>
          </cell>
          <cell r="F408" t="str">
            <v xml:space="preserve">   </v>
          </cell>
          <cell r="G408" t="str">
            <v xml:space="preserve">104424X       </v>
          </cell>
          <cell r="H408">
            <v>-445191.43</v>
          </cell>
          <cell r="I408">
            <v>-445191.43</v>
          </cell>
          <cell r="J408">
            <v>0</v>
          </cell>
          <cell r="K408">
            <v>0</v>
          </cell>
          <cell r="L408">
            <v>0</v>
          </cell>
        </row>
        <row r="409">
          <cell r="A409">
            <v>2</v>
          </cell>
          <cell r="B409">
            <v>0</v>
          </cell>
          <cell r="C409">
            <v>442</v>
          </cell>
          <cell r="D409" t="str">
            <v>4X</v>
          </cell>
          <cell r="E409" t="str">
            <v xml:space="preserve">    </v>
          </cell>
          <cell r="F409" t="str">
            <v xml:space="preserve">   </v>
          </cell>
          <cell r="G409" t="str">
            <v xml:space="preserve">204424X       </v>
          </cell>
          <cell r="H409">
            <v>-4752361.9000000004</v>
          </cell>
          <cell r="I409">
            <v>-4752361.9000000004</v>
          </cell>
          <cell r="J409">
            <v>0</v>
          </cell>
          <cell r="K409">
            <v>0</v>
          </cell>
          <cell r="L409">
            <v>0</v>
          </cell>
        </row>
        <row r="410">
          <cell r="A410">
            <v>1</v>
          </cell>
          <cell r="B410">
            <v>0</v>
          </cell>
          <cell r="C410">
            <v>456</v>
          </cell>
          <cell r="D410" t="str">
            <v>1X</v>
          </cell>
          <cell r="E410" t="str">
            <v xml:space="preserve">    </v>
          </cell>
          <cell r="F410" t="str">
            <v xml:space="preserve">   </v>
          </cell>
          <cell r="G410" t="str">
            <v xml:space="preserve">104561X       </v>
          </cell>
          <cell r="H410">
            <v>-414989</v>
          </cell>
          <cell r="I410">
            <v>-414989</v>
          </cell>
          <cell r="J410">
            <v>0</v>
          </cell>
          <cell r="K410">
            <v>0</v>
          </cell>
          <cell r="L410">
            <v>0</v>
          </cell>
        </row>
        <row r="411">
          <cell r="A411">
            <v>2</v>
          </cell>
          <cell r="B411">
            <v>0</v>
          </cell>
          <cell r="C411">
            <v>456</v>
          </cell>
          <cell r="D411" t="str">
            <v>1X</v>
          </cell>
          <cell r="E411" t="str">
            <v xml:space="preserve">    </v>
          </cell>
          <cell r="F411" t="str">
            <v xml:space="preserve">   </v>
          </cell>
          <cell r="G411" t="str">
            <v xml:space="preserve">204561X       </v>
          </cell>
          <cell r="H411">
            <v>-414989</v>
          </cell>
          <cell r="I411">
            <v>-414989</v>
          </cell>
          <cell r="J411">
            <v>0</v>
          </cell>
          <cell r="K411">
            <v>0</v>
          </cell>
          <cell r="L411">
            <v>0</v>
          </cell>
        </row>
        <row r="412">
          <cell r="A412">
            <v>1</v>
          </cell>
          <cell r="B412">
            <v>0</v>
          </cell>
          <cell r="C412">
            <v>456</v>
          </cell>
          <cell r="D412" t="str">
            <v>7X</v>
          </cell>
          <cell r="E412" t="str">
            <v xml:space="preserve">    </v>
          </cell>
          <cell r="F412" t="str">
            <v xml:space="preserve">   </v>
          </cell>
          <cell r="G412" t="str">
            <v xml:space="preserve">104567X       </v>
          </cell>
          <cell r="H412">
            <v>-1191036.92</v>
          </cell>
          <cell r="I412">
            <v>-1191036.92</v>
          </cell>
          <cell r="J412">
            <v>0</v>
          </cell>
          <cell r="K412">
            <v>0</v>
          </cell>
          <cell r="L412">
            <v>0</v>
          </cell>
        </row>
        <row r="413">
          <cell r="A413">
            <v>2</v>
          </cell>
          <cell r="B413">
            <v>0</v>
          </cell>
          <cell r="C413">
            <v>456</v>
          </cell>
          <cell r="D413" t="str">
            <v>7X</v>
          </cell>
          <cell r="E413" t="str">
            <v xml:space="preserve">    </v>
          </cell>
          <cell r="F413" t="str">
            <v xml:space="preserve">   </v>
          </cell>
          <cell r="G413" t="str">
            <v xml:space="preserve">204567X       </v>
          </cell>
          <cell r="H413">
            <v>-18380548.52</v>
          </cell>
          <cell r="I413">
            <v>-16398595.85</v>
          </cell>
          <cell r="J413">
            <v>-1735720.97</v>
          </cell>
          <cell r="K413">
            <v>-246231.7</v>
          </cell>
          <cell r="L413">
            <v>0</v>
          </cell>
        </row>
        <row r="414">
          <cell r="A414">
            <v>1</v>
          </cell>
          <cell r="B414">
            <v>0</v>
          </cell>
          <cell r="C414">
            <v>456</v>
          </cell>
          <cell r="D414" t="str">
            <v>8X</v>
          </cell>
          <cell r="E414" t="str">
            <v xml:space="preserve">    </v>
          </cell>
          <cell r="F414" t="str">
            <v xml:space="preserve">   </v>
          </cell>
          <cell r="G414" t="str">
            <v xml:space="preserve">104568X       </v>
          </cell>
          <cell r="H414">
            <v>-23141.78</v>
          </cell>
          <cell r="I414">
            <v>-6495.71</v>
          </cell>
          <cell r="J414">
            <v>-16646.07</v>
          </cell>
          <cell r="K414">
            <v>0</v>
          </cell>
          <cell r="L414">
            <v>0</v>
          </cell>
        </row>
        <row r="415">
          <cell r="A415">
            <v>2</v>
          </cell>
          <cell r="B415">
            <v>0</v>
          </cell>
          <cell r="C415">
            <v>456</v>
          </cell>
          <cell r="D415" t="str">
            <v>8X</v>
          </cell>
          <cell r="E415" t="str">
            <v xml:space="preserve">    </v>
          </cell>
          <cell r="F415" t="str">
            <v xml:space="preserve">   </v>
          </cell>
          <cell r="G415" t="str">
            <v xml:space="preserve">204568X       </v>
          </cell>
          <cell r="H415">
            <v>-245986.83</v>
          </cell>
          <cell r="I415">
            <v>-40960.910000000003</v>
          </cell>
          <cell r="J415">
            <v>-205025.92000000001</v>
          </cell>
          <cell r="K415">
            <v>0</v>
          </cell>
          <cell r="L415">
            <v>0</v>
          </cell>
        </row>
        <row r="416">
          <cell r="A416">
            <v>1</v>
          </cell>
          <cell r="B416">
            <v>1</v>
          </cell>
          <cell r="C416">
            <v>411</v>
          </cell>
          <cell r="D416" t="str">
            <v>4X</v>
          </cell>
          <cell r="E416" t="str">
            <v xml:space="preserve">    </v>
          </cell>
          <cell r="F416" t="str">
            <v xml:space="preserve">   </v>
          </cell>
          <cell r="G416" t="str">
            <v xml:space="preserve">114114X       </v>
          </cell>
          <cell r="H416">
            <v>-4109</v>
          </cell>
          <cell r="I416">
            <v>0</v>
          </cell>
          <cell r="J416">
            <v>-2555</v>
          </cell>
          <cell r="K416">
            <v>-1554</v>
          </cell>
          <cell r="L416">
            <v>0</v>
          </cell>
        </row>
        <row r="417">
          <cell r="A417">
            <v>2</v>
          </cell>
          <cell r="B417">
            <v>1</v>
          </cell>
          <cell r="C417">
            <v>411</v>
          </cell>
          <cell r="D417" t="str">
            <v>4X</v>
          </cell>
          <cell r="E417" t="str">
            <v xml:space="preserve">    </v>
          </cell>
          <cell r="F417" t="str">
            <v xml:space="preserve">   </v>
          </cell>
          <cell r="G417" t="str">
            <v xml:space="preserve">214114X       </v>
          </cell>
          <cell r="H417">
            <v>-49308</v>
          </cell>
          <cell r="I417">
            <v>0</v>
          </cell>
          <cell r="J417">
            <v>-30627</v>
          </cell>
          <cell r="K417">
            <v>-18681</v>
          </cell>
          <cell r="L417">
            <v>0</v>
          </cell>
        </row>
        <row r="418">
          <cell r="A418">
            <v>1</v>
          </cell>
          <cell r="B418">
            <v>1</v>
          </cell>
          <cell r="C418">
            <v>481</v>
          </cell>
          <cell r="D418" t="str">
            <v>1X</v>
          </cell>
          <cell r="E418" t="str">
            <v xml:space="preserve">    </v>
          </cell>
          <cell r="F418" t="str">
            <v xml:space="preserve">   </v>
          </cell>
          <cell r="G418" t="str">
            <v xml:space="preserve">114811X       </v>
          </cell>
          <cell r="H418">
            <v>0</v>
          </cell>
          <cell r="I418">
            <v>0</v>
          </cell>
          <cell r="J418">
            <v>0</v>
          </cell>
          <cell r="K418">
            <v>0</v>
          </cell>
          <cell r="L418">
            <v>0</v>
          </cell>
        </row>
        <row r="419">
          <cell r="A419">
            <v>2</v>
          </cell>
          <cell r="B419">
            <v>1</v>
          </cell>
          <cell r="C419">
            <v>481</v>
          </cell>
          <cell r="D419" t="str">
            <v>1X</v>
          </cell>
          <cell r="E419" t="str">
            <v xml:space="preserve">    </v>
          </cell>
          <cell r="F419" t="str">
            <v xml:space="preserve">   </v>
          </cell>
          <cell r="G419" t="str">
            <v xml:space="preserve">214811X       </v>
          </cell>
          <cell r="H419">
            <v>249049.92</v>
          </cell>
          <cell r="I419">
            <v>0</v>
          </cell>
          <cell r="J419">
            <v>245488.64000000001</v>
          </cell>
          <cell r="K419">
            <v>3561.28</v>
          </cell>
          <cell r="L419">
            <v>0</v>
          </cell>
        </row>
        <row r="420">
          <cell r="A420">
            <v>1</v>
          </cell>
          <cell r="B420">
            <v>1</v>
          </cell>
          <cell r="C420">
            <v>481</v>
          </cell>
          <cell r="D420" t="str">
            <v>2X</v>
          </cell>
          <cell r="E420" t="str">
            <v xml:space="preserve">    </v>
          </cell>
          <cell r="F420" t="str">
            <v xml:space="preserve">   </v>
          </cell>
          <cell r="G420" t="str">
            <v xml:space="preserve">114812X       </v>
          </cell>
          <cell r="H420">
            <v>-4184138.84</v>
          </cell>
          <cell r="I420">
            <v>0</v>
          </cell>
          <cell r="J420">
            <v>-2960781.27</v>
          </cell>
          <cell r="K420">
            <v>-1223357.57</v>
          </cell>
          <cell r="L420">
            <v>0</v>
          </cell>
        </row>
        <row r="421">
          <cell r="A421">
            <v>2</v>
          </cell>
          <cell r="B421">
            <v>1</v>
          </cell>
          <cell r="C421">
            <v>481</v>
          </cell>
          <cell r="D421" t="str">
            <v>2X</v>
          </cell>
          <cell r="E421" t="str">
            <v xml:space="preserve">    </v>
          </cell>
          <cell r="F421" t="str">
            <v xml:space="preserve">   </v>
          </cell>
          <cell r="G421" t="str">
            <v xml:space="preserve">214812X       </v>
          </cell>
          <cell r="H421">
            <v>-30321121.18</v>
          </cell>
          <cell r="I421">
            <v>0</v>
          </cell>
          <cell r="J421">
            <v>-20729603.210000001</v>
          </cell>
          <cell r="K421">
            <v>-9591517.9700000007</v>
          </cell>
          <cell r="L421">
            <v>0</v>
          </cell>
        </row>
        <row r="422">
          <cell r="A422">
            <v>1</v>
          </cell>
          <cell r="B422">
            <v>1</v>
          </cell>
          <cell r="C422">
            <v>481</v>
          </cell>
          <cell r="D422" t="str">
            <v>3X</v>
          </cell>
          <cell r="E422" t="str">
            <v xml:space="preserve">    </v>
          </cell>
          <cell r="F422" t="str">
            <v xml:space="preserve">   </v>
          </cell>
          <cell r="G422" t="str">
            <v xml:space="preserve">114813X       </v>
          </cell>
          <cell r="H422">
            <v>-368370.08</v>
          </cell>
          <cell r="I422">
            <v>0</v>
          </cell>
          <cell r="J422">
            <v>-215539.96</v>
          </cell>
          <cell r="K422">
            <v>-152830.12</v>
          </cell>
          <cell r="L422">
            <v>0</v>
          </cell>
        </row>
        <row r="423">
          <cell r="A423">
            <v>2</v>
          </cell>
          <cell r="B423">
            <v>1</v>
          </cell>
          <cell r="C423">
            <v>481</v>
          </cell>
          <cell r="D423" t="str">
            <v>3X</v>
          </cell>
          <cell r="E423" t="str">
            <v xml:space="preserve">    </v>
          </cell>
          <cell r="F423" t="str">
            <v xml:space="preserve">   </v>
          </cell>
          <cell r="G423" t="str">
            <v xml:space="preserve">214813X       </v>
          </cell>
          <cell r="H423">
            <v>-3287107.47</v>
          </cell>
          <cell r="I423">
            <v>0</v>
          </cell>
          <cell r="J423">
            <v>-1785485.59</v>
          </cell>
          <cell r="K423">
            <v>-1501621.88</v>
          </cell>
          <cell r="L423">
            <v>0</v>
          </cell>
        </row>
        <row r="424">
          <cell r="A424">
            <v>1</v>
          </cell>
          <cell r="B424">
            <v>1</v>
          </cell>
          <cell r="C424">
            <v>481</v>
          </cell>
          <cell r="D424" t="str">
            <v>4X</v>
          </cell>
          <cell r="E424" t="str">
            <v xml:space="preserve">    </v>
          </cell>
          <cell r="F424" t="str">
            <v xml:space="preserve">   </v>
          </cell>
          <cell r="G424" t="str">
            <v xml:space="preserve">114814X       </v>
          </cell>
          <cell r="H424">
            <v>-4022.33</v>
          </cell>
          <cell r="I424">
            <v>0</v>
          </cell>
          <cell r="J424">
            <v>0</v>
          </cell>
          <cell r="K424">
            <v>-4022.33</v>
          </cell>
          <cell r="L424">
            <v>0</v>
          </cell>
        </row>
        <row r="425">
          <cell r="A425">
            <v>2</v>
          </cell>
          <cell r="B425">
            <v>1</v>
          </cell>
          <cell r="C425">
            <v>481</v>
          </cell>
          <cell r="D425" t="str">
            <v>4X</v>
          </cell>
          <cell r="E425" t="str">
            <v xml:space="preserve">    </v>
          </cell>
          <cell r="F425" t="str">
            <v xml:space="preserve">   </v>
          </cell>
          <cell r="G425" t="str">
            <v xml:space="preserve">214814X       </v>
          </cell>
          <cell r="H425">
            <v>-159049.81</v>
          </cell>
          <cell r="I425">
            <v>0</v>
          </cell>
          <cell r="J425">
            <v>-78554.48</v>
          </cell>
          <cell r="K425">
            <v>-80495.33</v>
          </cell>
          <cell r="L425">
            <v>0</v>
          </cell>
        </row>
        <row r="426">
          <cell r="A426">
            <v>1</v>
          </cell>
          <cell r="B426">
            <v>1</v>
          </cell>
          <cell r="C426">
            <v>495</v>
          </cell>
          <cell r="D426" t="str">
            <v>9X</v>
          </cell>
          <cell r="E426" t="str">
            <v xml:space="preserve">    </v>
          </cell>
          <cell r="F426" t="str">
            <v xml:space="preserve">   </v>
          </cell>
          <cell r="G426" t="str">
            <v xml:space="preserve">114959X       </v>
          </cell>
          <cell r="H426">
            <v>-245241.83</v>
          </cell>
          <cell r="I426">
            <v>-245241.83</v>
          </cell>
          <cell r="J426">
            <v>0</v>
          </cell>
          <cell r="K426">
            <v>0</v>
          </cell>
          <cell r="L426">
            <v>0</v>
          </cell>
        </row>
        <row r="427">
          <cell r="A427">
            <v>2</v>
          </cell>
          <cell r="B427">
            <v>1</v>
          </cell>
          <cell r="C427">
            <v>495</v>
          </cell>
          <cell r="D427" t="str">
            <v>9X</v>
          </cell>
          <cell r="E427" t="str">
            <v xml:space="preserve">    </v>
          </cell>
          <cell r="F427" t="str">
            <v xml:space="preserve">   </v>
          </cell>
          <cell r="G427" t="str">
            <v xml:space="preserve">214959X       </v>
          </cell>
          <cell r="H427">
            <v>-2942901.96</v>
          </cell>
          <cell r="I427">
            <v>-2942901.96</v>
          </cell>
          <cell r="J427">
            <v>0</v>
          </cell>
          <cell r="K427">
            <v>0</v>
          </cell>
          <cell r="L427">
            <v>0</v>
          </cell>
        </row>
        <row r="428">
          <cell r="A428">
            <v>1</v>
          </cell>
          <cell r="B428">
            <v>2</v>
          </cell>
          <cell r="C428">
            <v>481</v>
          </cell>
          <cell r="D428" t="str">
            <v>2X</v>
          </cell>
          <cell r="E428" t="str">
            <v xml:space="preserve">    </v>
          </cell>
          <cell r="F428" t="str">
            <v xml:space="preserve">   </v>
          </cell>
          <cell r="G428" t="str">
            <v xml:space="preserve">124812X       </v>
          </cell>
          <cell r="H428">
            <v>-2297875.88</v>
          </cell>
          <cell r="I428">
            <v>0</v>
          </cell>
          <cell r="J428">
            <v>-1909649.74</v>
          </cell>
          <cell r="K428">
            <v>-388226.14</v>
          </cell>
          <cell r="L428">
            <v>0</v>
          </cell>
        </row>
        <row r="429">
          <cell r="A429">
            <v>2</v>
          </cell>
          <cell r="B429">
            <v>2</v>
          </cell>
          <cell r="C429">
            <v>481</v>
          </cell>
          <cell r="D429" t="str">
            <v>2X</v>
          </cell>
          <cell r="E429" t="str">
            <v xml:space="preserve">    </v>
          </cell>
          <cell r="F429" t="str">
            <v xml:space="preserve">   </v>
          </cell>
          <cell r="G429" t="str">
            <v xml:space="preserve">224812X       </v>
          </cell>
          <cell r="H429">
            <v>-18321438.890000001</v>
          </cell>
          <cell r="I429">
            <v>0</v>
          </cell>
          <cell r="J429">
            <v>-14594069.17</v>
          </cell>
          <cell r="K429">
            <v>-3727369.72</v>
          </cell>
          <cell r="L429">
            <v>0</v>
          </cell>
        </row>
        <row r="430">
          <cell r="A430">
            <v>1</v>
          </cell>
          <cell r="B430">
            <v>2</v>
          </cell>
          <cell r="C430">
            <v>481</v>
          </cell>
          <cell r="D430" t="str">
            <v>3X</v>
          </cell>
          <cell r="E430" t="str">
            <v xml:space="preserve">    </v>
          </cell>
          <cell r="F430" t="str">
            <v xml:space="preserve">   </v>
          </cell>
          <cell r="G430" t="str">
            <v xml:space="preserve">124813X       </v>
          </cell>
          <cell r="H430">
            <v>-30291.91</v>
          </cell>
          <cell r="I430">
            <v>0</v>
          </cell>
          <cell r="J430">
            <v>-30291.91</v>
          </cell>
          <cell r="K430">
            <v>0</v>
          </cell>
          <cell r="L430">
            <v>0</v>
          </cell>
        </row>
        <row r="431">
          <cell r="A431">
            <v>2</v>
          </cell>
          <cell r="B431">
            <v>2</v>
          </cell>
          <cell r="C431">
            <v>481</v>
          </cell>
          <cell r="D431" t="str">
            <v>3X</v>
          </cell>
          <cell r="E431" t="str">
            <v xml:space="preserve">    </v>
          </cell>
          <cell r="F431" t="str">
            <v xml:space="preserve">   </v>
          </cell>
          <cell r="G431" t="str">
            <v xml:space="preserve">224813X       </v>
          </cell>
          <cell r="H431">
            <v>-352126.09</v>
          </cell>
          <cell r="I431">
            <v>0</v>
          </cell>
          <cell r="J431">
            <v>-352126.09</v>
          </cell>
          <cell r="K431">
            <v>0</v>
          </cell>
          <cell r="L431">
            <v>0</v>
          </cell>
        </row>
        <row r="432">
          <cell r="A432">
            <v>1</v>
          </cell>
          <cell r="B432">
            <v>2</v>
          </cell>
          <cell r="C432">
            <v>481</v>
          </cell>
          <cell r="D432" t="str">
            <v>4X</v>
          </cell>
          <cell r="E432" t="str">
            <v xml:space="preserve">    </v>
          </cell>
          <cell r="F432" t="str">
            <v xml:space="preserve">   </v>
          </cell>
          <cell r="G432" t="str">
            <v xml:space="preserve">124814X       </v>
          </cell>
          <cell r="H432">
            <v>-163155.5</v>
          </cell>
          <cell r="I432">
            <v>0</v>
          </cell>
          <cell r="J432">
            <v>-163155.5</v>
          </cell>
          <cell r="K432">
            <v>0</v>
          </cell>
          <cell r="L432">
            <v>0</v>
          </cell>
        </row>
        <row r="433">
          <cell r="A433">
            <v>2</v>
          </cell>
          <cell r="B433">
            <v>2</v>
          </cell>
          <cell r="C433">
            <v>481</v>
          </cell>
          <cell r="D433" t="str">
            <v>4X</v>
          </cell>
          <cell r="E433" t="str">
            <v xml:space="preserve">    </v>
          </cell>
          <cell r="F433" t="str">
            <v xml:space="preserve">   </v>
          </cell>
          <cell r="G433" t="str">
            <v xml:space="preserve">224814X       </v>
          </cell>
          <cell r="H433">
            <v>-1491589.6</v>
          </cell>
          <cell r="I433">
            <v>0</v>
          </cell>
          <cell r="J433">
            <v>-1491589.6</v>
          </cell>
          <cell r="K433">
            <v>0</v>
          </cell>
          <cell r="L433">
            <v>0</v>
          </cell>
        </row>
        <row r="434">
          <cell r="A434">
            <v>1</v>
          </cell>
          <cell r="B434">
            <v>0</v>
          </cell>
          <cell r="C434">
            <v>403</v>
          </cell>
          <cell r="D434">
            <v>10</v>
          </cell>
          <cell r="E434" t="str">
            <v xml:space="preserve">    </v>
          </cell>
          <cell r="F434" t="str">
            <v xml:space="preserve">   </v>
          </cell>
          <cell r="G434">
            <v>1040310</v>
          </cell>
          <cell r="H434">
            <v>1083913</v>
          </cell>
          <cell r="I434">
            <v>1083913</v>
          </cell>
          <cell r="J434">
            <v>0</v>
          </cell>
          <cell r="K434">
            <v>0</v>
          </cell>
          <cell r="L434">
            <v>0</v>
          </cell>
        </row>
        <row r="435">
          <cell r="A435">
            <v>2</v>
          </cell>
          <cell r="B435">
            <v>0</v>
          </cell>
          <cell r="C435">
            <v>403</v>
          </cell>
          <cell r="D435">
            <v>10</v>
          </cell>
          <cell r="E435" t="str">
            <v xml:space="preserve">    </v>
          </cell>
          <cell r="F435" t="str">
            <v xml:space="preserve">   </v>
          </cell>
          <cell r="G435">
            <v>2040310</v>
          </cell>
          <cell r="H435">
            <v>12942358</v>
          </cell>
          <cell r="I435">
            <v>12942358</v>
          </cell>
          <cell r="J435">
            <v>0</v>
          </cell>
          <cell r="K435">
            <v>0</v>
          </cell>
          <cell r="L435">
            <v>0</v>
          </cell>
        </row>
        <row r="436">
          <cell r="A436">
            <v>1</v>
          </cell>
          <cell r="B436">
            <v>0</v>
          </cell>
          <cell r="C436">
            <v>403</v>
          </cell>
          <cell r="D436">
            <v>20</v>
          </cell>
          <cell r="E436" t="str">
            <v xml:space="preserve">    </v>
          </cell>
          <cell r="F436" t="str">
            <v xml:space="preserve">   </v>
          </cell>
          <cell r="G436">
            <v>1040320</v>
          </cell>
          <cell r="H436">
            <v>285575</v>
          </cell>
          <cell r="I436">
            <v>285575</v>
          </cell>
          <cell r="J436">
            <v>0</v>
          </cell>
          <cell r="K436">
            <v>0</v>
          </cell>
          <cell r="L436">
            <v>0</v>
          </cell>
        </row>
        <row r="437">
          <cell r="A437">
            <v>2</v>
          </cell>
          <cell r="B437">
            <v>0</v>
          </cell>
          <cell r="C437">
            <v>403</v>
          </cell>
          <cell r="D437">
            <v>20</v>
          </cell>
          <cell r="E437" t="str">
            <v xml:space="preserve">    </v>
          </cell>
          <cell r="F437" t="str">
            <v xml:space="preserve">   </v>
          </cell>
          <cell r="G437">
            <v>2040320</v>
          </cell>
          <cell r="H437">
            <v>3014629</v>
          </cell>
          <cell r="I437">
            <v>3014629</v>
          </cell>
          <cell r="J437">
            <v>0</v>
          </cell>
          <cell r="K437">
            <v>0</v>
          </cell>
          <cell r="L437">
            <v>0</v>
          </cell>
        </row>
        <row r="438">
          <cell r="A438">
            <v>1</v>
          </cell>
          <cell r="B438">
            <v>0</v>
          </cell>
          <cell r="C438">
            <v>403</v>
          </cell>
          <cell r="D438">
            <v>30</v>
          </cell>
          <cell r="E438" t="str">
            <v xml:space="preserve">    </v>
          </cell>
          <cell r="F438" t="str">
            <v xml:space="preserve">   </v>
          </cell>
          <cell r="G438">
            <v>1040330</v>
          </cell>
          <cell r="H438">
            <v>42444</v>
          </cell>
          <cell r="I438">
            <v>42444</v>
          </cell>
          <cell r="J438">
            <v>0</v>
          </cell>
          <cell r="K438">
            <v>0</v>
          </cell>
          <cell r="L438">
            <v>0</v>
          </cell>
        </row>
        <row r="439">
          <cell r="A439">
            <v>2</v>
          </cell>
          <cell r="B439">
            <v>0</v>
          </cell>
          <cell r="C439">
            <v>403</v>
          </cell>
          <cell r="D439">
            <v>30</v>
          </cell>
          <cell r="E439" t="str">
            <v xml:space="preserve">    </v>
          </cell>
          <cell r="F439" t="str">
            <v xml:space="preserve">   </v>
          </cell>
          <cell r="G439">
            <v>2040330</v>
          </cell>
          <cell r="H439">
            <v>501288</v>
          </cell>
          <cell r="I439">
            <v>501288</v>
          </cell>
          <cell r="J439">
            <v>0</v>
          </cell>
          <cell r="K439">
            <v>0</v>
          </cell>
          <cell r="L439">
            <v>0</v>
          </cell>
        </row>
        <row r="440">
          <cell r="A440">
            <v>1</v>
          </cell>
          <cell r="B440">
            <v>0</v>
          </cell>
          <cell r="C440">
            <v>403</v>
          </cell>
          <cell r="D440">
            <v>40</v>
          </cell>
          <cell r="E440" t="str">
            <v xml:space="preserve">    </v>
          </cell>
          <cell r="F440" t="str">
            <v xml:space="preserve">   </v>
          </cell>
          <cell r="G440">
            <v>1040340</v>
          </cell>
          <cell r="H440">
            <v>501511</v>
          </cell>
          <cell r="I440">
            <v>501511</v>
          </cell>
          <cell r="J440">
            <v>0</v>
          </cell>
          <cell r="K440">
            <v>0</v>
          </cell>
          <cell r="L440">
            <v>0</v>
          </cell>
        </row>
        <row r="441">
          <cell r="A441">
            <v>2</v>
          </cell>
          <cell r="B441">
            <v>0</v>
          </cell>
          <cell r="C441">
            <v>403</v>
          </cell>
          <cell r="D441">
            <v>40</v>
          </cell>
          <cell r="E441" t="str">
            <v xml:space="preserve">    </v>
          </cell>
          <cell r="F441" t="str">
            <v xml:space="preserve">   </v>
          </cell>
          <cell r="G441">
            <v>2040340</v>
          </cell>
          <cell r="H441">
            <v>6368323</v>
          </cell>
          <cell r="I441">
            <v>6368323</v>
          </cell>
          <cell r="J441">
            <v>0</v>
          </cell>
          <cell r="K441">
            <v>0</v>
          </cell>
          <cell r="L441">
            <v>0</v>
          </cell>
        </row>
        <row r="442">
          <cell r="A442">
            <v>1</v>
          </cell>
          <cell r="B442">
            <v>0</v>
          </cell>
          <cell r="C442">
            <v>403</v>
          </cell>
          <cell r="D442">
            <v>50</v>
          </cell>
          <cell r="E442" t="str">
            <v xml:space="preserve">    </v>
          </cell>
          <cell r="F442" t="str">
            <v xml:space="preserve">   </v>
          </cell>
          <cell r="G442">
            <v>1040350</v>
          </cell>
          <cell r="H442">
            <v>1073738</v>
          </cell>
          <cell r="I442">
            <v>1073738</v>
          </cell>
          <cell r="J442">
            <v>0</v>
          </cell>
          <cell r="K442">
            <v>0</v>
          </cell>
          <cell r="L442">
            <v>0</v>
          </cell>
        </row>
        <row r="443">
          <cell r="A443">
            <v>2</v>
          </cell>
          <cell r="B443">
            <v>0</v>
          </cell>
          <cell r="C443">
            <v>403</v>
          </cell>
          <cell r="D443">
            <v>50</v>
          </cell>
          <cell r="E443" t="str">
            <v xml:space="preserve">    </v>
          </cell>
          <cell r="F443" t="str">
            <v xml:space="preserve">   </v>
          </cell>
          <cell r="G443">
            <v>2040350</v>
          </cell>
          <cell r="H443">
            <v>13066467</v>
          </cell>
          <cell r="I443">
            <v>13066467</v>
          </cell>
          <cell r="J443">
            <v>0</v>
          </cell>
          <cell r="K443">
            <v>0</v>
          </cell>
          <cell r="L443">
            <v>0</v>
          </cell>
        </row>
        <row r="444">
          <cell r="A444">
            <v>1</v>
          </cell>
          <cell r="B444">
            <v>0</v>
          </cell>
          <cell r="C444">
            <v>403</v>
          </cell>
          <cell r="D444">
            <v>60</v>
          </cell>
          <cell r="E444" t="str">
            <v xml:space="preserve">    </v>
          </cell>
          <cell r="F444" t="str">
            <v xml:space="preserve">   </v>
          </cell>
          <cell r="G444">
            <v>1040360</v>
          </cell>
          <cell r="H444">
            <v>186057.45</v>
          </cell>
          <cell r="I444">
            <v>186057.45</v>
          </cell>
          <cell r="J444">
            <v>0</v>
          </cell>
          <cell r="K444">
            <v>0</v>
          </cell>
          <cell r="L444">
            <v>0</v>
          </cell>
        </row>
        <row r="445">
          <cell r="A445">
            <v>2</v>
          </cell>
          <cell r="B445">
            <v>0</v>
          </cell>
          <cell r="C445">
            <v>403</v>
          </cell>
          <cell r="D445">
            <v>60</v>
          </cell>
          <cell r="E445" t="str">
            <v xml:space="preserve">    </v>
          </cell>
          <cell r="F445" t="str">
            <v xml:space="preserve">   </v>
          </cell>
          <cell r="G445">
            <v>2040360</v>
          </cell>
          <cell r="H445">
            <v>3042723.11</v>
          </cell>
          <cell r="I445">
            <v>3042723.11</v>
          </cell>
          <cell r="J445">
            <v>0</v>
          </cell>
          <cell r="K445">
            <v>0</v>
          </cell>
          <cell r="L445">
            <v>0</v>
          </cell>
        </row>
        <row r="446">
          <cell r="A446">
            <v>1</v>
          </cell>
          <cell r="B446">
            <v>0</v>
          </cell>
          <cell r="C446">
            <v>403</v>
          </cell>
          <cell r="D446">
            <v>70</v>
          </cell>
          <cell r="E446" t="str">
            <v xml:space="preserve">    </v>
          </cell>
          <cell r="F446" t="str">
            <v xml:space="preserve">   </v>
          </cell>
          <cell r="G446">
            <v>1040370</v>
          </cell>
          <cell r="H446">
            <v>16020.14</v>
          </cell>
          <cell r="I446">
            <v>16020.14</v>
          </cell>
          <cell r="J446">
            <v>0</v>
          </cell>
          <cell r="K446">
            <v>0</v>
          </cell>
          <cell r="L446">
            <v>0</v>
          </cell>
        </row>
        <row r="447">
          <cell r="A447">
            <v>2</v>
          </cell>
          <cell r="B447">
            <v>0</v>
          </cell>
          <cell r="C447">
            <v>403</v>
          </cell>
          <cell r="D447">
            <v>70</v>
          </cell>
          <cell r="E447" t="str">
            <v xml:space="preserve">    </v>
          </cell>
          <cell r="F447" t="str">
            <v xml:space="preserve">   </v>
          </cell>
          <cell r="G447">
            <v>2040370</v>
          </cell>
          <cell r="H447">
            <v>191414.05</v>
          </cell>
          <cell r="I447">
            <v>191414.05</v>
          </cell>
          <cell r="J447">
            <v>0</v>
          </cell>
          <cell r="K447">
            <v>0</v>
          </cell>
          <cell r="L447">
            <v>0</v>
          </cell>
        </row>
        <row r="448">
          <cell r="A448">
            <v>1</v>
          </cell>
          <cell r="B448">
            <v>0</v>
          </cell>
          <cell r="C448">
            <v>404</v>
          </cell>
          <cell r="D448">
            <v>0</v>
          </cell>
          <cell r="E448" t="str">
            <v xml:space="preserve">    </v>
          </cell>
          <cell r="F448" t="str">
            <v xml:space="preserve">   </v>
          </cell>
          <cell r="G448">
            <v>1040400</v>
          </cell>
          <cell r="H448">
            <v>1152</v>
          </cell>
          <cell r="I448">
            <v>1152</v>
          </cell>
          <cell r="J448">
            <v>0</v>
          </cell>
          <cell r="K448">
            <v>0</v>
          </cell>
          <cell r="L448">
            <v>0</v>
          </cell>
        </row>
        <row r="449">
          <cell r="A449">
            <v>2</v>
          </cell>
          <cell r="B449">
            <v>0</v>
          </cell>
          <cell r="C449">
            <v>404</v>
          </cell>
          <cell r="D449">
            <v>0</v>
          </cell>
          <cell r="E449" t="str">
            <v xml:space="preserve">    </v>
          </cell>
          <cell r="F449" t="str">
            <v xml:space="preserve">   </v>
          </cell>
          <cell r="G449">
            <v>2040400</v>
          </cell>
          <cell r="H449">
            <v>13824</v>
          </cell>
          <cell r="I449">
            <v>13824</v>
          </cell>
          <cell r="J449">
            <v>0</v>
          </cell>
          <cell r="K449">
            <v>0</v>
          </cell>
          <cell r="L449">
            <v>0</v>
          </cell>
        </row>
        <row r="450">
          <cell r="A450">
            <v>1</v>
          </cell>
          <cell r="B450">
            <v>0</v>
          </cell>
          <cell r="C450">
            <v>404</v>
          </cell>
          <cell r="D450">
            <v>30</v>
          </cell>
          <cell r="E450" t="str">
            <v xml:space="preserve">    </v>
          </cell>
          <cell r="F450" t="str">
            <v xml:space="preserve">   </v>
          </cell>
          <cell r="G450">
            <v>1040430</v>
          </cell>
          <cell r="H450">
            <v>-63808.82</v>
          </cell>
          <cell r="I450">
            <v>-63808.82</v>
          </cell>
          <cell r="J450">
            <v>0</v>
          </cell>
          <cell r="K450">
            <v>0</v>
          </cell>
          <cell r="L450">
            <v>0</v>
          </cell>
        </row>
        <row r="451">
          <cell r="A451">
            <v>2</v>
          </cell>
          <cell r="B451">
            <v>0</v>
          </cell>
          <cell r="C451">
            <v>404</v>
          </cell>
          <cell r="D451">
            <v>30</v>
          </cell>
          <cell r="E451" t="str">
            <v xml:space="preserve">    </v>
          </cell>
          <cell r="F451" t="str">
            <v xml:space="preserve">   </v>
          </cell>
          <cell r="G451">
            <v>2040430</v>
          </cell>
          <cell r="H451">
            <v>628573.65</v>
          </cell>
          <cell r="I451">
            <v>628573.65</v>
          </cell>
          <cell r="J451">
            <v>0</v>
          </cell>
          <cell r="K451">
            <v>0</v>
          </cell>
          <cell r="L451">
            <v>0</v>
          </cell>
        </row>
        <row r="452">
          <cell r="A452">
            <v>1</v>
          </cell>
          <cell r="B452">
            <v>0</v>
          </cell>
          <cell r="C452">
            <v>404</v>
          </cell>
          <cell r="D452">
            <v>60</v>
          </cell>
          <cell r="E452" t="str">
            <v xml:space="preserve">    </v>
          </cell>
          <cell r="F452" t="str">
            <v xml:space="preserve">   </v>
          </cell>
          <cell r="G452">
            <v>1040460</v>
          </cell>
          <cell r="H452">
            <v>55522.58</v>
          </cell>
          <cell r="I452">
            <v>55522.58</v>
          </cell>
          <cell r="J452">
            <v>0</v>
          </cell>
          <cell r="K452">
            <v>0</v>
          </cell>
          <cell r="L452">
            <v>0</v>
          </cell>
        </row>
        <row r="453">
          <cell r="A453">
            <v>2</v>
          </cell>
          <cell r="B453">
            <v>0</v>
          </cell>
          <cell r="C453">
            <v>404</v>
          </cell>
          <cell r="D453">
            <v>60</v>
          </cell>
          <cell r="E453" t="str">
            <v xml:space="preserve">    </v>
          </cell>
          <cell r="F453" t="str">
            <v xml:space="preserve">   </v>
          </cell>
          <cell r="G453">
            <v>2040460</v>
          </cell>
          <cell r="H453">
            <v>458802.44</v>
          </cell>
          <cell r="I453">
            <v>458802.44</v>
          </cell>
          <cell r="J453">
            <v>0</v>
          </cell>
          <cell r="K453">
            <v>0</v>
          </cell>
          <cell r="L453">
            <v>0</v>
          </cell>
        </row>
        <row r="454">
          <cell r="A454">
            <v>1</v>
          </cell>
          <cell r="B454">
            <v>0</v>
          </cell>
          <cell r="C454">
            <v>407</v>
          </cell>
          <cell r="D454">
            <v>0</v>
          </cell>
          <cell r="E454" t="str">
            <v xml:space="preserve">    </v>
          </cell>
          <cell r="F454" t="str">
            <v xml:space="preserve">   </v>
          </cell>
          <cell r="G454">
            <v>1040700</v>
          </cell>
          <cell r="H454">
            <v>37922</v>
          </cell>
          <cell r="I454">
            <v>0</v>
          </cell>
          <cell r="J454">
            <v>0</v>
          </cell>
          <cell r="K454">
            <v>37922</v>
          </cell>
          <cell r="L454">
            <v>0</v>
          </cell>
        </row>
        <row r="455">
          <cell r="A455">
            <v>2</v>
          </cell>
          <cell r="B455">
            <v>0</v>
          </cell>
          <cell r="C455">
            <v>407</v>
          </cell>
          <cell r="D455">
            <v>0</v>
          </cell>
          <cell r="E455" t="str">
            <v xml:space="preserve">    </v>
          </cell>
          <cell r="F455" t="str">
            <v xml:space="preserve">   </v>
          </cell>
          <cell r="G455">
            <v>2040700</v>
          </cell>
          <cell r="H455">
            <v>455064</v>
          </cell>
          <cell r="I455">
            <v>0</v>
          </cell>
          <cell r="J455">
            <v>0</v>
          </cell>
          <cell r="K455">
            <v>455064</v>
          </cell>
          <cell r="L455">
            <v>0</v>
          </cell>
        </row>
        <row r="456">
          <cell r="A456">
            <v>1</v>
          </cell>
          <cell r="B456">
            <v>0</v>
          </cell>
          <cell r="C456">
            <v>407</v>
          </cell>
          <cell r="D456">
            <v>4</v>
          </cell>
          <cell r="E456" t="str">
            <v xml:space="preserve">    </v>
          </cell>
          <cell r="F456" t="str">
            <v xml:space="preserve">   </v>
          </cell>
          <cell r="G456">
            <v>1040704</v>
          </cell>
          <cell r="H456">
            <v>0</v>
          </cell>
          <cell r="I456">
            <v>0</v>
          </cell>
          <cell r="J456">
            <v>0</v>
          </cell>
          <cell r="K456">
            <v>0</v>
          </cell>
          <cell r="L456">
            <v>0</v>
          </cell>
        </row>
        <row r="457">
          <cell r="A457">
            <v>2</v>
          </cell>
          <cell r="B457">
            <v>0</v>
          </cell>
          <cell r="C457">
            <v>407</v>
          </cell>
          <cell r="D457">
            <v>4</v>
          </cell>
          <cell r="E457" t="str">
            <v xml:space="preserve">    </v>
          </cell>
          <cell r="F457" t="str">
            <v xml:space="preserve">   </v>
          </cell>
          <cell r="G457">
            <v>2040704</v>
          </cell>
          <cell r="H457">
            <v>-11077.4</v>
          </cell>
          <cell r="I457">
            <v>-11077.4</v>
          </cell>
          <cell r="J457">
            <v>0</v>
          </cell>
          <cell r="K457">
            <v>0</v>
          </cell>
          <cell r="L457">
            <v>0</v>
          </cell>
        </row>
        <row r="458">
          <cell r="A458">
            <v>1</v>
          </cell>
          <cell r="B458">
            <v>0</v>
          </cell>
          <cell r="C458">
            <v>408</v>
          </cell>
          <cell r="D458">
            <v>11</v>
          </cell>
          <cell r="E458" t="str">
            <v xml:space="preserve">    </v>
          </cell>
          <cell r="F458" t="str">
            <v xml:space="preserve">   </v>
          </cell>
          <cell r="G458">
            <v>1040811</v>
          </cell>
          <cell r="H458">
            <v>1695093.64</v>
          </cell>
          <cell r="I458">
            <v>0</v>
          </cell>
          <cell r="J458">
            <v>1694918.02</v>
          </cell>
          <cell r="K458">
            <v>175.62</v>
          </cell>
          <cell r="L458">
            <v>0</v>
          </cell>
        </row>
        <row r="459">
          <cell r="A459">
            <v>2</v>
          </cell>
          <cell r="B459">
            <v>0</v>
          </cell>
          <cell r="C459">
            <v>408</v>
          </cell>
          <cell r="D459">
            <v>11</v>
          </cell>
          <cell r="E459" t="str">
            <v xml:space="preserve">    </v>
          </cell>
          <cell r="F459" t="str">
            <v xml:space="preserve">   </v>
          </cell>
          <cell r="G459">
            <v>2040811</v>
          </cell>
          <cell r="H459">
            <v>10334577.880000001</v>
          </cell>
          <cell r="I459">
            <v>0</v>
          </cell>
          <cell r="J459">
            <v>10340750.859999999</v>
          </cell>
          <cell r="K459">
            <v>-6172.98</v>
          </cell>
          <cell r="L459">
            <v>0</v>
          </cell>
        </row>
        <row r="460">
          <cell r="A460">
            <v>1</v>
          </cell>
          <cell r="B460">
            <v>0</v>
          </cell>
          <cell r="C460">
            <v>408</v>
          </cell>
          <cell r="D460">
            <v>12</v>
          </cell>
          <cell r="E460" t="str">
            <v xml:space="preserve">    </v>
          </cell>
          <cell r="F460" t="str">
            <v xml:space="preserve">   </v>
          </cell>
          <cell r="G460">
            <v>1040812</v>
          </cell>
          <cell r="H460">
            <v>593207.68000000005</v>
          </cell>
          <cell r="I460">
            <v>0</v>
          </cell>
          <cell r="J460">
            <v>593207.68000000005</v>
          </cell>
          <cell r="K460">
            <v>0</v>
          </cell>
          <cell r="L460">
            <v>0</v>
          </cell>
        </row>
        <row r="461">
          <cell r="A461">
            <v>2</v>
          </cell>
          <cell r="B461">
            <v>0</v>
          </cell>
          <cell r="C461">
            <v>408</v>
          </cell>
          <cell r="D461">
            <v>12</v>
          </cell>
          <cell r="E461" t="str">
            <v xml:space="preserve">    </v>
          </cell>
          <cell r="F461" t="str">
            <v xml:space="preserve">   </v>
          </cell>
          <cell r="G461">
            <v>2040812</v>
          </cell>
          <cell r="H461">
            <v>7982235.2699999996</v>
          </cell>
          <cell r="I461">
            <v>0</v>
          </cell>
          <cell r="J461">
            <v>7982235.2699999996</v>
          </cell>
          <cell r="K461">
            <v>0</v>
          </cell>
          <cell r="L461">
            <v>0</v>
          </cell>
        </row>
        <row r="462">
          <cell r="A462">
            <v>1</v>
          </cell>
          <cell r="B462">
            <v>0</v>
          </cell>
          <cell r="C462">
            <v>408</v>
          </cell>
          <cell r="D462">
            <v>13</v>
          </cell>
          <cell r="E462" t="str">
            <v xml:space="preserve">    </v>
          </cell>
          <cell r="F462" t="str">
            <v xml:space="preserve">   </v>
          </cell>
          <cell r="G462">
            <v>1040813</v>
          </cell>
          <cell r="H462">
            <v>0</v>
          </cell>
          <cell r="I462">
            <v>0</v>
          </cell>
          <cell r="J462">
            <v>0</v>
          </cell>
          <cell r="K462">
            <v>0</v>
          </cell>
          <cell r="L462">
            <v>0</v>
          </cell>
        </row>
        <row r="463">
          <cell r="A463">
            <v>2</v>
          </cell>
          <cell r="B463">
            <v>0</v>
          </cell>
          <cell r="C463">
            <v>408</v>
          </cell>
          <cell r="D463">
            <v>13</v>
          </cell>
          <cell r="E463" t="str">
            <v xml:space="preserve">    </v>
          </cell>
          <cell r="F463" t="str">
            <v xml:space="preserve">   </v>
          </cell>
          <cell r="G463">
            <v>2040813</v>
          </cell>
          <cell r="H463">
            <v>2375.5300000000002</v>
          </cell>
          <cell r="I463">
            <v>0</v>
          </cell>
          <cell r="J463">
            <v>2375.5300000000002</v>
          </cell>
          <cell r="K463">
            <v>0</v>
          </cell>
          <cell r="L463">
            <v>0</v>
          </cell>
        </row>
        <row r="464">
          <cell r="A464">
            <v>1</v>
          </cell>
          <cell r="B464">
            <v>0</v>
          </cell>
          <cell r="C464">
            <v>408</v>
          </cell>
          <cell r="D464">
            <v>14</v>
          </cell>
          <cell r="E464" t="str">
            <v xml:space="preserve">    </v>
          </cell>
          <cell r="F464" t="str">
            <v xml:space="preserve">   </v>
          </cell>
          <cell r="G464">
            <v>1040814</v>
          </cell>
          <cell r="H464">
            <v>83247.7</v>
          </cell>
          <cell r="I464">
            <v>83247.7</v>
          </cell>
          <cell r="J464">
            <v>0</v>
          </cell>
          <cell r="K464">
            <v>0</v>
          </cell>
          <cell r="L464">
            <v>0</v>
          </cell>
        </row>
        <row r="465">
          <cell r="A465">
            <v>2</v>
          </cell>
          <cell r="B465">
            <v>0</v>
          </cell>
          <cell r="C465">
            <v>408</v>
          </cell>
          <cell r="D465">
            <v>14</v>
          </cell>
          <cell r="E465" t="str">
            <v xml:space="preserve">    </v>
          </cell>
          <cell r="F465" t="str">
            <v xml:space="preserve">   </v>
          </cell>
          <cell r="G465">
            <v>2040814</v>
          </cell>
          <cell r="H465">
            <v>1056105.18</v>
          </cell>
          <cell r="I465">
            <v>1056105.18</v>
          </cell>
          <cell r="J465">
            <v>0</v>
          </cell>
          <cell r="K465">
            <v>0</v>
          </cell>
          <cell r="L465">
            <v>0</v>
          </cell>
        </row>
        <row r="466">
          <cell r="A466">
            <v>1</v>
          </cell>
          <cell r="B466">
            <v>0</v>
          </cell>
          <cell r="C466">
            <v>408</v>
          </cell>
          <cell r="D466">
            <v>15</v>
          </cell>
          <cell r="E466" t="str">
            <v xml:space="preserve">    </v>
          </cell>
          <cell r="F466" t="str">
            <v xml:space="preserve">   </v>
          </cell>
          <cell r="G466">
            <v>1040815</v>
          </cell>
          <cell r="H466">
            <v>1445937</v>
          </cell>
          <cell r="I466">
            <v>505872</v>
          </cell>
          <cell r="J466">
            <v>696900</v>
          </cell>
          <cell r="K466">
            <v>243165</v>
          </cell>
          <cell r="L466">
            <v>0</v>
          </cell>
        </row>
        <row r="467">
          <cell r="A467">
            <v>2</v>
          </cell>
          <cell r="B467">
            <v>0</v>
          </cell>
          <cell r="C467">
            <v>408</v>
          </cell>
          <cell r="D467">
            <v>15</v>
          </cell>
          <cell r="E467" t="str">
            <v xml:space="preserve">    </v>
          </cell>
          <cell r="F467" t="str">
            <v xml:space="preserve">   </v>
          </cell>
          <cell r="G467">
            <v>2040815</v>
          </cell>
          <cell r="H467">
            <v>20403000.030000001</v>
          </cell>
          <cell r="I467">
            <v>8533000.0199999996</v>
          </cell>
          <cell r="J467">
            <v>8100000.0099999998</v>
          </cell>
          <cell r="K467">
            <v>3770000</v>
          </cell>
          <cell r="L467">
            <v>0</v>
          </cell>
        </row>
        <row r="468">
          <cell r="A468">
            <v>1</v>
          </cell>
          <cell r="B468">
            <v>0</v>
          </cell>
          <cell r="C468">
            <v>408</v>
          </cell>
          <cell r="D468">
            <v>16</v>
          </cell>
          <cell r="E468" t="str">
            <v xml:space="preserve">    </v>
          </cell>
          <cell r="F468" t="str">
            <v xml:space="preserve">   </v>
          </cell>
          <cell r="G468">
            <v>1040816</v>
          </cell>
          <cell r="H468">
            <v>7</v>
          </cell>
          <cell r="I468">
            <v>0</v>
          </cell>
          <cell r="J468">
            <v>0</v>
          </cell>
          <cell r="K468">
            <v>7</v>
          </cell>
          <cell r="L468">
            <v>0</v>
          </cell>
        </row>
        <row r="469">
          <cell r="A469">
            <v>2</v>
          </cell>
          <cell r="B469">
            <v>0</v>
          </cell>
          <cell r="C469">
            <v>408</v>
          </cell>
          <cell r="D469">
            <v>16</v>
          </cell>
          <cell r="E469" t="str">
            <v xml:space="preserve">    </v>
          </cell>
          <cell r="F469" t="str">
            <v xml:space="preserve">   </v>
          </cell>
          <cell r="G469">
            <v>2040816</v>
          </cell>
          <cell r="H469">
            <v>29381.13</v>
          </cell>
          <cell r="I469">
            <v>5966.23</v>
          </cell>
          <cell r="J469">
            <v>16448.830000000002</v>
          </cell>
          <cell r="K469">
            <v>6966.07</v>
          </cell>
          <cell r="L469">
            <v>0</v>
          </cell>
        </row>
        <row r="470">
          <cell r="A470">
            <v>1</v>
          </cell>
          <cell r="B470">
            <v>0</v>
          </cell>
          <cell r="C470">
            <v>409</v>
          </cell>
          <cell r="D470">
            <v>11</v>
          </cell>
          <cell r="E470" t="str">
            <v xml:space="preserve">    </v>
          </cell>
          <cell r="F470" t="str">
            <v xml:space="preserve">   </v>
          </cell>
          <cell r="G470">
            <v>1040911</v>
          </cell>
          <cell r="H470">
            <v>-547006</v>
          </cell>
          <cell r="I470">
            <v>-547006</v>
          </cell>
          <cell r="J470">
            <v>0</v>
          </cell>
          <cell r="K470">
            <v>0</v>
          </cell>
          <cell r="L470">
            <v>0</v>
          </cell>
        </row>
        <row r="471">
          <cell r="A471">
            <v>2</v>
          </cell>
          <cell r="B471">
            <v>0</v>
          </cell>
          <cell r="C471">
            <v>409</v>
          </cell>
          <cell r="D471">
            <v>11</v>
          </cell>
          <cell r="E471" t="str">
            <v xml:space="preserve">    </v>
          </cell>
          <cell r="F471" t="str">
            <v xml:space="preserve">   </v>
          </cell>
          <cell r="G471">
            <v>2040911</v>
          </cell>
          <cell r="H471">
            <v>18316140</v>
          </cell>
          <cell r="I471">
            <v>18316140</v>
          </cell>
          <cell r="J471">
            <v>0</v>
          </cell>
          <cell r="K471">
            <v>0</v>
          </cell>
          <cell r="L471">
            <v>0</v>
          </cell>
        </row>
        <row r="472">
          <cell r="A472">
            <v>1</v>
          </cell>
          <cell r="B472">
            <v>0</v>
          </cell>
          <cell r="C472">
            <v>409</v>
          </cell>
          <cell r="D472">
            <v>13</v>
          </cell>
          <cell r="E472" t="str">
            <v xml:space="preserve">    </v>
          </cell>
          <cell r="F472" t="str">
            <v xml:space="preserve">   </v>
          </cell>
          <cell r="G472">
            <v>1040913</v>
          </cell>
          <cell r="H472">
            <v>70198</v>
          </cell>
          <cell r="I472">
            <v>0</v>
          </cell>
          <cell r="J472">
            <v>0</v>
          </cell>
          <cell r="K472">
            <v>70198</v>
          </cell>
          <cell r="L472">
            <v>0</v>
          </cell>
        </row>
        <row r="473">
          <cell r="A473">
            <v>2</v>
          </cell>
          <cell r="B473">
            <v>0</v>
          </cell>
          <cell r="C473">
            <v>409</v>
          </cell>
          <cell r="D473">
            <v>13</v>
          </cell>
          <cell r="E473" t="str">
            <v xml:space="preserve">    </v>
          </cell>
          <cell r="F473" t="str">
            <v xml:space="preserve">   </v>
          </cell>
          <cell r="G473">
            <v>2040913</v>
          </cell>
          <cell r="H473">
            <v>1147219.18</v>
          </cell>
          <cell r="I473">
            <v>0</v>
          </cell>
          <cell r="J473">
            <v>0</v>
          </cell>
          <cell r="K473">
            <v>1147219.18</v>
          </cell>
          <cell r="L473">
            <v>0</v>
          </cell>
        </row>
        <row r="474">
          <cell r="A474">
            <v>1</v>
          </cell>
          <cell r="B474">
            <v>0</v>
          </cell>
          <cell r="C474">
            <v>409</v>
          </cell>
          <cell r="D474">
            <v>14</v>
          </cell>
          <cell r="E474" t="str">
            <v xml:space="preserve">    </v>
          </cell>
          <cell r="F474" t="str">
            <v xml:space="preserve">   </v>
          </cell>
          <cell r="G474">
            <v>1040914</v>
          </cell>
          <cell r="H474">
            <v>27176</v>
          </cell>
          <cell r="I474">
            <v>27176</v>
          </cell>
          <cell r="J474">
            <v>0</v>
          </cell>
          <cell r="K474">
            <v>0</v>
          </cell>
          <cell r="L474">
            <v>0</v>
          </cell>
        </row>
        <row r="475">
          <cell r="A475">
            <v>2</v>
          </cell>
          <cell r="B475">
            <v>0</v>
          </cell>
          <cell r="C475">
            <v>409</v>
          </cell>
          <cell r="D475">
            <v>14</v>
          </cell>
          <cell r="E475" t="str">
            <v xml:space="preserve">    </v>
          </cell>
          <cell r="F475" t="str">
            <v xml:space="preserve">   </v>
          </cell>
          <cell r="G475">
            <v>2040914</v>
          </cell>
          <cell r="H475">
            <v>518999</v>
          </cell>
          <cell r="I475">
            <v>518999</v>
          </cell>
          <cell r="J475">
            <v>0</v>
          </cell>
          <cell r="K475">
            <v>0</v>
          </cell>
          <cell r="L475">
            <v>0</v>
          </cell>
        </row>
        <row r="476">
          <cell r="A476">
            <v>1</v>
          </cell>
          <cell r="B476">
            <v>0</v>
          </cell>
          <cell r="C476">
            <v>410</v>
          </cell>
          <cell r="D476">
            <v>10</v>
          </cell>
          <cell r="E476" t="str">
            <v xml:space="preserve">    </v>
          </cell>
          <cell r="F476" t="str">
            <v xml:space="preserve">   </v>
          </cell>
          <cell r="G476">
            <v>1041010</v>
          </cell>
          <cell r="H476">
            <v>1006253.03</v>
          </cell>
          <cell r="I476">
            <v>732128.03</v>
          </cell>
          <cell r="J476">
            <v>-3289</v>
          </cell>
          <cell r="K476">
            <v>277414</v>
          </cell>
          <cell r="L476">
            <v>0</v>
          </cell>
        </row>
        <row r="477">
          <cell r="A477">
            <v>2</v>
          </cell>
          <cell r="B477">
            <v>0</v>
          </cell>
          <cell r="C477">
            <v>410</v>
          </cell>
          <cell r="D477">
            <v>10</v>
          </cell>
          <cell r="E477" t="str">
            <v xml:space="preserve">    </v>
          </cell>
          <cell r="F477" t="str">
            <v xml:space="preserve">   </v>
          </cell>
          <cell r="G477">
            <v>2041010</v>
          </cell>
          <cell r="H477">
            <v>11460926.02</v>
          </cell>
          <cell r="I477">
            <v>6842902.0199999996</v>
          </cell>
          <cell r="J477">
            <v>-39468</v>
          </cell>
          <cell r="K477">
            <v>4657492</v>
          </cell>
          <cell r="L477">
            <v>0</v>
          </cell>
        </row>
        <row r="478">
          <cell r="A478">
            <v>1</v>
          </cell>
          <cell r="B478">
            <v>0</v>
          </cell>
          <cell r="C478">
            <v>410</v>
          </cell>
          <cell r="D478">
            <v>14</v>
          </cell>
          <cell r="E478" t="str">
            <v xml:space="preserve">    </v>
          </cell>
          <cell r="F478" t="str">
            <v xml:space="preserve">   </v>
          </cell>
          <cell r="G478">
            <v>1041014</v>
          </cell>
          <cell r="H478">
            <v>77165.66</v>
          </cell>
          <cell r="I478">
            <v>0</v>
          </cell>
          <cell r="J478">
            <v>0</v>
          </cell>
          <cell r="K478">
            <v>77165.66</v>
          </cell>
          <cell r="L478">
            <v>0</v>
          </cell>
        </row>
        <row r="479">
          <cell r="A479">
            <v>2</v>
          </cell>
          <cell r="B479">
            <v>0</v>
          </cell>
          <cell r="C479">
            <v>410</v>
          </cell>
          <cell r="D479">
            <v>14</v>
          </cell>
          <cell r="E479" t="str">
            <v xml:space="preserve">    </v>
          </cell>
          <cell r="F479" t="str">
            <v xml:space="preserve">   </v>
          </cell>
          <cell r="G479">
            <v>2041014</v>
          </cell>
          <cell r="H479">
            <v>571173.52</v>
          </cell>
          <cell r="I479">
            <v>0</v>
          </cell>
          <cell r="J479">
            <v>0</v>
          </cell>
          <cell r="K479">
            <v>571173.52</v>
          </cell>
          <cell r="L479">
            <v>0</v>
          </cell>
        </row>
        <row r="480">
          <cell r="A480">
            <v>1</v>
          </cell>
          <cell r="B480">
            <v>0</v>
          </cell>
          <cell r="C480">
            <v>411</v>
          </cell>
          <cell r="D480">
            <v>10</v>
          </cell>
          <cell r="E480" t="str">
            <v xml:space="preserve">    </v>
          </cell>
          <cell r="F480" t="str">
            <v xml:space="preserve">   </v>
          </cell>
          <cell r="G480">
            <v>1041110</v>
          </cell>
          <cell r="H480">
            <v>-434985.27</v>
          </cell>
          <cell r="I480">
            <v>-285982.27</v>
          </cell>
          <cell r="J480">
            <v>-37931</v>
          </cell>
          <cell r="K480">
            <v>-111072</v>
          </cell>
          <cell r="L480">
            <v>0</v>
          </cell>
        </row>
        <row r="481">
          <cell r="A481">
            <v>2</v>
          </cell>
          <cell r="B481">
            <v>0</v>
          </cell>
          <cell r="C481">
            <v>411</v>
          </cell>
          <cell r="D481">
            <v>10</v>
          </cell>
          <cell r="E481" t="str">
            <v xml:space="preserve">    </v>
          </cell>
          <cell r="F481" t="str">
            <v xml:space="preserve">   </v>
          </cell>
          <cell r="G481">
            <v>2041110</v>
          </cell>
          <cell r="H481">
            <v>-4326463.08</v>
          </cell>
          <cell r="I481">
            <v>-1914304.33</v>
          </cell>
          <cell r="J481">
            <v>-469661</v>
          </cell>
          <cell r="K481">
            <v>-1942497.75</v>
          </cell>
          <cell r="L481">
            <v>0</v>
          </cell>
        </row>
        <row r="482">
          <cell r="A482">
            <v>1</v>
          </cell>
          <cell r="B482">
            <v>0</v>
          </cell>
          <cell r="C482">
            <v>903</v>
          </cell>
          <cell r="D482">
            <v>10</v>
          </cell>
          <cell r="E482" t="str">
            <v xml:space="preserve">    </v>
          </cell>
          <cell r="F482" t="str">
            <v xml:space="preserve">   </v>
          </cell>
          <cell r="G482">
            <v>1090310</v>
          </cell>
          <cell r="H482">
            <v>79.13</v>
          </cell>
          <cell r="I482">
            <v>0</v>
          </cell>
          <cell r="J482">
            <v>79.13</v>
          </cell>
          <cell r="K482">
            <v>0</v>
          </cell>
          <cell r="L482">
            <v>0</v>
          </cell>
        </row>
        <row r="483">
          <cell r="A483">
            <v>2</v>
          </cell>
          <cell r="B483">
            <v>0</v>
          </cell>
          <cell r="C483">
            <v>903</v>
          </cell>
          <cell r="D483">
            <v>10</v>
          </cell>
          <cell r="E483" t="str">
            <v xml:space="preserve">    </v>
          </cell>
          <cell r="F483" t="str">
            <v xml:space="preserve">   </v>
          </cell>
          <cell r="G483">
            <v>2090310</v>
          </cell>
          <cell r="H483">
            <v>2966.54</v>
          </cell>
          <cell r="I483">
            <v>1459.44</v>
          </cell>
          <cell r="J483">
            <v>1507.1</v>
          </cell>
          <cell r="K483">
            <v>0</v>
          </cell>
          <cell r="L483">
            <v>0</v>
          </cell>
        </row>
        <row r="484">
          <cell r="A484">
            <v>1</v>
          </cell>
          <cell r="B484">
            <v>0</v>
          </cell>
          <cell r="C484">
            <v>903</v>
          </cell>
          <cell r="D484">
            <v>20</v>
          </cell>
          <cell r="E484" t="str">
            <v xml:space="preserve">    </v>
          </cell>
          <cell r="F484" t="str">
            <v xml:space="preserve">   </v>
          </cell>
          <cell r="G484">
            <v>1090320</v>
          </cell>
          <cell r="H484">
            <v>200683.71</v>
          </cell>
          <cell r="I484">
            <v>118863.94</v>
          </cell>
          <cell r="J484">
            <v>55042.54</v>
          </cell>
          <cell r="K484">
            <v>26777.23</v>
          </cell>
          <cell r="L484">
            <v>0</v>
          </cell>
        </row>
        <row r="485">
          <cell r="A485">
            <v>2</v>
          </cell>
          <cell r="B485">
            <v>0</v>
          </cell>
          <cell r="C485">
            <v>903</v>
          </cell>
          <cell r="D485">
            <v>20</v>
          </cell>
          <cell r="E485" t="str">
            <v xml:space="preserve">    </v>
          </cell>
          <cell r="F485" t="str">
            <v xml:space="preserve">   </v>
          </cell>
          <cell r="G485">
            <v>2090320</v>
          </cell>
          <cell r="H485">
            <v>2015034.16</v>
          </cell>
          <cell r="I485">
            <v>1177060.04</v>
          </cell>
          <cell r="J485">
            <v>545883.80000000005</v>
          </cell>
          <cell r="K485">
            <v>292090.32</v>
          </cell>
          <cell r="L485">
            <v>0</v>
          </cell>
        </row>
        <row r="486">
          <cell r="A486">
            <v>1</v>
          </cell>
          <cell r="B486">
            <v>0</v>
          </cell>
          <cell r="C486">
            <v>903</v>
          </cell>
          <cell r="D486">
            <v>21</v>
          </cell>
          <cell r="E486" t="str">
            <v xml:space="preserve">    </v>
          </cell>
          <cell r="F486" t="str">
            <v xml:space="preserve">   </v>
          </cell>
          <cell r="G486">
            <v>1090321</v>
          </cell>
          <cell r="H486">
            <v>34399.46</v>
          </cell>
          <cell r="I486">
            <v>393.34</v>
          </cell>
          <cell r="J486">
            <v>33589.379999999997</v>
          </cell>
          <cell r="K486">
            <v>416.74</v>
          </cell>
          <cell r="L486">
            <v>0</v>
          </cell>
        </row>
        <row r="487">
          <cell r="A487">
            <v>2</v>
          </cell>
          <cell r="B487">
            <v>0</v>
          </cell>
          <cell r="C487">
            <v>903</v>
          </cell>
          <cell r="D487">
            <v>21</v>
          </cell>
          <cell r="E487" t="str">
            <v xml:space="preserve">    </v>
          </cell>
          <cell r="F487" t="str">
            <v xml:space="preserve">   </v>
          </cell>
          <cell r="G487">
            <v>2090321</v>
          </cell>
          <cell r="H487">
            <v>127088.11</v>
          </cell>
          <cell r="I487">
            <v>17265.189999999999</v>
          </cell>
          <cell r="J487">
            <v>107045.43</v>
          </cell>
          <cell r="K487">
            <v>2777.49</v>
          </cell>
          <cell r="L487">
            <v>0</v>
          </cell>
        </row>
        <row r="488">
          <cell r="A488">
            <v>1</v>
          </cell>
          <cell r="B488">
            <v>0</v>
          </cell>
          <cell r="C488">
            <v>903</v>
          </cell>
          <cell r="D488">
            <v>23</v>
          </cell>
          <cell r="E488" t="str">
            <v xml:space="preserve">    </v>
          </cell>
          <cell r="F488" t="str">
            <v xml:space="preserve">   </v>
          </cell>
          <cell r="G488">
            <v>1090323</v>
          </cell>
          <cell r="H488">
            <v>106.38</v>
          </cell>
          <cell r="I488">
            <v>0</v>
          </cell>
          <cell r="J488">
            <v>106.38</v>
          </cell>
          <cell r="K488">
            <v>0</v>
          </cell>
          <cell r="L488">
            <v>0</v>
          </cell>
        </row>
        <row r="489">
          <cell r="A489">
            <v>2</v>
          </cell>
          <cell r="B489">
            <v>0</v>
          </cell>
          <cell r="C489">
            <v>903</v>
          </cell>
          <cell r="D489">
            <v>23</v>
          </cell>
          <cell r="E489" t="str">
            <v xml:space="preserve">    </v>
          </cell>
          <cell r="F489" t="str">
            <v xml:space="preserve">   </v>
          </cell>
          <cell r="G489">
            <v>2090323</v>
          </cell>
          <cell r="H489">
            <v>106.38</v>
          </cell>
          <cell r="I489">
            <v>0</v>
          </cell>
          <cell r="J489">
            <v>106.38</v>
          </cell>
          <cell r="K489">
            <v>0</v>
          </cell>
          <cell r="L489">
            <v>0</v>
          </cell>
        </row>
        <row r="490">
          <cell r="A490">
            <v>1</v>
          </cell>
          <cell r="B490">
            <v>0</v>
          </cell>
          <cell r="C490">
            <v>903</v>
          </cell>
          <cell r="D490">
            <v>25</v>
          </cell>
          <cell r="E490" t="str">
            <v xml:space="preserve">    </v>
          </cell>
          <cell r="F490" t="str">
            <v xml:space="preserve">   </v>
          </cell>
          <cell r="G490">
            <v>1090325</v>
          </cell>
          <cell r="H490">
            <v>6328.17</v>
          </cell>
          <cell r="I490">
            <v>5699.53</v>
          </cell>
          <cell r="J490">
            <v>628.64</v>
          </cell>
          <cell r="K490">
            <v>0</v>
          </cell>
          <cell r="L490">
            <v>0</v>
          </cell>
        </row>
        <row r="491">
          <cell r="A491">
            <v>2</v>
          </cell>
          <cell r="B491">
            <v>0</v>
          </cell>
          <cell r="C491">
            <v>903</v>
          </cell>
          <cell r="D491">
            <v>25</v>
          </cell>
          <cell r="E491" t="str">
            <v xml:space="preserve">    </v>
          </cell>
          <cell r="F491" t="str">
            <v xml:space="preserve">   </v>
          </cell>
          <cell r="G491">
            <v>2090325</v>
          </cell>
          <cell r="H491">
            <v>98317.59</v>
          </cell>
          <cell r="I491">
            <v>92049.31</v>
          </cell>
          <cell r="J491">
            <v>6268.28</v>
          </cell>
          <cell r="K491">
            <v>0</v>
          </cell>
          <cell r="L491">
            <v>0</v>
          </cell>
        </row>
        <row r="492">
          <cell r="A492">
            <v>1</v>
          </cell>
          <cell r="B492">
            <v>0</v>
          </cell>
          <cell r="C492">
            <v>903</v>
          </cell>
          <cell r="D492">
            <v>27</v>
          </cell>
          <cell r="E492" t="str">
            <v xml:space="preserve">    </v>
          </cell>
          <cell r="F492" t="str">
            <v xml:space="preserve">   </v>
          </cell>
          <cell r="G492">
            <v>1090327</v>
          </cell>
          <cell r="H492">
            <v>2509.9</v>
          </cell>
          <cell r="I492">
            <v>2509.9</v>
          </cell>
          <cell r="J492">
            <v>0</v>
          </cell>
          <cell r="K492">
            <v>0</v>
          </cell>
          <cell r="L492">
            <v>0</v>
          </cell>
        </row>
        <row r="493">
          <cell r="A493">
            <v>2</v>
          </cell>
          <cell r="B493">
            <v>0</v>
          </cell>
          <cell r="C493">
            <v>903</v>
          </cell>
          <cell r="D493">
            <v>27</v>
          </cell>
          <cell r="E493" t="str">
            <v xml:space="preserve">    </v>
          </cell>
          <cell r="F493" t="str">
            <v xml:space="preserve">   </v>
          </cell>
          <cell r="G493">
            <v>2090327</v>
          </cell>
          <cell r="H493">
            <v>30248.12</v>
          </cell>
          <cell r="I493">
            <v>30248.12</v>
          </cell>
          <cell r="J493">
            <v>0</v>
          </cell>
          <cell r="K493">
            <v>0</v>
          </cell>
          <cell r="L493">
            <v>0</v>
          </cell>
        </row>
        <row r="494">
          <cell r="A494">
            <v>1</v>
          </cell>
          <cell r="B494">
            <v>0</v>
          </cell>
          <cell r="C494">
            <v>903</v>
          </cell>
          <cell r="D494">
            <v>30</v>
          </cell>
          <cell r="E494" t="str">
            <v xml:space="preserve">    </v>
          </cell>
          <cell r="F494" t="str">
            <v xml:space="preserve">   </v>
          </cell>
          <cell r="G494">
            <v>1090330</v>
          </cell>
          <cell r="H494">
            <v>228301.54</v>
          </cell>
          <cell r="I494">
            <v>220494.87</v>
          </cell>
          <cell r="J494">
            <v>912.63</v>
          </cell>
          <cell r="K494">
            <v>6894.04</v>
          </cell>
          <cell r="L494">
            <v>0</v>
          </cell>
        </row>
        <row r="495">
          <cell r="A495">
            <v>2</v>
          </cell>
          <cell r="B495">
            <v>0</v>
          </cell>
          <cell r="C495">
            <v>903</v>
          </cell>
          <cell r="D495">
            <v>30</v>
          </cell>
          <cell r="E495" t="str">
            <v xml:space="preserve">    </v>
          </cell>
          <cell r="F495" t="str">
            <v xml:space="preserve">   </v>
          </cell>
          <cell r="G495">
            <v>2090330</v>
          </cell>
          <cell r="H495">
            <v>2552041.19</v>
          </cell>
          <cell r="I495">
            <v>2493342.44</v>
          </cell>
          <cell r="J495">
            <v>14055.15</v>
          </cell>
          <cell r="K495">
            <v>44643.6</v>
          </cell>
          <cell r="L495">
            <v>0</v>
          </cell>
        </row>
        <row r="496">
          <cell r="A496">
            <v>1</v>
          </cell>
          <cell r="B496">
            <v>0</v>
          </cell>
          <cell r="C496">
            <v>903</v>
          </cell>
          <cell r="D496">
            <v>35</v>
          </cell>
          <cell r="E496" t="str">
            <v xml:space="preserve">    </v>
          </cell>
          <cell r="F496" t="str">
            <v xml:space="preserve">   </v>
          </cell>
          <cell r="G496">
            <v>1090335</v>
          </cell>
          <cell r="H496">
            <v>2060.37</v>
          </cell>
          <cell r="I496">
            <v>2060.37</v>
          </cell>
          <cell r="J496">
            <v>0</v>
          </cell>
          <cell r="K496">
            <v>0</v>
          </cell>
          <cell r="L496">
            <v>0</v>
          </cell>
        </row>
        <row r="497">
          <cell r="A497">
            <v>2</v>
          </cell>
          <cell r="B497">
            <v>0</v>
          </cell>
          <cell r="C497">
            <v>903</v>
          </cell>
          <cell r="D497">
            <v>35</v>
          </cell>
          <cell r="E497" t="str">
            <v xml:space="preserve">    </v>
          </cell>
          <cell r="F497" t="str">
            <v xml:space="preserve">   </v>
          </cell>
          <cell r="G497">
            <v>2090335</v>
          </cell>
          <cell r="H497">
            <v>26080.42</v>
          </cell>
          <cell r="I497">
            <v>26080.42</v>
          </cell>
          <cell r="J497">
            <v>0</v>
          </cell>
          <cell r="K497">
            <v>0</v>
          </cell>
          <cell r="L497">
            <v>0</v>
          </cell>
        </row>
        <row r="498">
          <cell r="A498">
            <v>1</v>
          </cell>
          <cell r="B498">
            <v>0</v>
          </cell>
          <cell r="C498">
            <v>903</v>
          </cell>
          <cell r="D498">
            <v>39</v>
          </cell>
          <cell r="E498" t="str">
            <v xml:space="preserve">    </v>
          </cell>
          <cell r="F498" t="str">
            <v xml:space="preserve">   </v>
          </cell>
          <cell r="G498">
            <v>1090339</v>
          </cell>
          <cell r="H498">
            <v>-261.54000000000002</v>
          </cell>
          <cell r="I498">
            <v>-160.65</v>
          </cell>
          <cell r="J498">
            <v>-86.34</v>
          </cell>
          <cell r="K498">
            <v>-14.55</v>
          </cell>
          <cell r="L498">
            <v>0</v>
          </cell>
        </row>
        <row r="499">
          <cell r="A499">
            <v>2</v>
          </cell>
          <cell r="B499">
            <v>0</v>
          </cell>
          <cell r="C499">
            <v>903</v>
          </cell>
          <cell r="D499">
            <v>39</v>
          </cell>
          <cell r="E499" t="str">
            <v xml:space="preserve">    </v>
          </cell>
          <cell r="F499" t="str">
            <v xml:space="preserve">   </v>
          </cell>
          <cell r="G499">
            <v>2090339</v>
          </cell>
          <cell r="H499">
            <v>101.47</v>
          </cell>
          <cell r="I499">
            <v>561.45000000000005</v>
          </cell>
          <cell r="J499">
            <v>-377.69</v>
          </cell>
          <cell r="K499">
            <v>-82.29</v>
          </cell>
          <cell r="L499">
            <v>0</v>
          </cell>
        </row>
        <row r="500">
          <cell r="A500">
            <v>1</v>
          </cell>
          <cell r="B500">
            <v>0</v>
          </cell>
          <cell r="C500">
            <v>903</v>
          </cell>
          <cell r="D500">
            <v>40</v>
          </cell>
          <cell r="E500" t="str">
            <v xml:space="preserve">    </v>
          </cell>
          <cell r="F500" t="str">
            <v xml:space="preserve">   </v>
          </cell>
          <cell r="G500">
            <v>1090340</v>
          </cell>
          <cell r="H500">
            <v>10685.43</v>
          </cell>
          <cell r="I500">
            <v>0</v>
          </cell>
          <cell r="J500">
            <v>10685.43</v>
          </cell>
          <cell r="K500">
            <v>0</v>
          </cell>
          <cell r="L500">
            <v>0</v>
          </cell>
        </row>
        <row r="501">
          <cell r="A501">
            <v>2</v>
          </cell>
          <cell r="B501">
            <v>0</v>
          </cell>
          <cell r="C501">
            <v>903</v>
          </cell>
          <cell r="D501">
            <v>40</v>
          </cell>
          <cell r="E501" t="str">
            <v xml:space="preserve">    </v>
          </cell>
          <cell r="F501" t="str">
            <v xml:space="preserve">   </v>
          </cell>
          <cell r="G501">
            <v>2090340</v>
          </cell>
          <cell r="H501">
            <v>12848.75</v>
          </cell>
          <cell r="I501">
            <v>0</v>
          </cell>
          <cell r="J501">
            <v>12848.75</v>
          </cell>
          <cell r="K501">
            <v>0</v>
          </cell>
          <cell r="L501">
            <v>0</v>
          </cell>
        </row>
        <row r="502">
          <cell r="A502">
            <v>1</v>
          </cell>
          <cell r="B502">
            <v>0</v>
          </cell>
          <cell r="C502">
            <v>903</v>
          </cell>
          <cell r="D502">
            <v>92</v>
          </cell>
          <cell r="E502" t="str">
            <v xml:space="preserve">    </v>
          </cell>
          <cell r="F502" t="str">
            <v xml:space="preserve">   </v>
          </cell>
          <cell r="G502">
            <v>1090392</v>
          </cell>
          <cell r="H502">
            <v>14452.36</v>
          </cell>
          <cell r="I502">
            <v>14452.36</v>
          </cell>
          <cell r="J502">
            <v>0</v>
          </cell>
          <cell r="K502">
            <v>0</v>
          </cell>
          <cell r="L502">
            <v>0</v>
          </cell>
        </row>
        <row r="503">
          <cell r="A503">
            <v>2</v>
          </cell>
          <cell r="B503">
            <v>0</v>
          </cell>
          <cell r="C503">
            <v>903</v>
          </cell>
          <cell r="D503">
            <v>92</v>
          </cell>
          <cell r="E503" t="str">
            <v xml:space="preserve">    </v>
          </cell>
          <cell r="F503" t="str">
            <v xml:space="preserve">   </v>
          </cell>
          <cell r="G503">
            <v>2090392</v>
          </cell>
          <cell r="H503">
            <v>150240.45000000001</v>
          </cell>
          <cell r="I503">
            <v>150240.45000000001</v>
          </cell>
          <cell r="J503">
            <v>0</v>
          </cell>
          <cell r="K503">
            <v>0</v>
          </cell>
          <cell r="L503">
            <v>0</v>
          </cell>
        </row>
        <row r="504">
          <cell r="A504">
            <v>1</v>
          </cell>
          <cell r="B504">
            <v>0</v>
          </cell>
          <cell r="C504">
            <v>903</v>
          </cell>
          <cell r="D504">
            <v>93</v>
          </cell>
          <cell r="E504" t="str">
            <v xml:space="preserve">    </v>
          </cell>
          <cell r="F504" t="str">
            <v xml:space="preserve">   </v>
          </cell>
          <cell r="G504">
            <v>1090393</v>
          </cell>
          <cell r="H504">
            <v>90734.88</v>
          </cell>
          <cell r="I504">
            <v>90734.88</v>
          </cell>
          <cell r="J504">
            <v>0</v>
          </cell>
          <cell r="K504">
            <v>0</v>
          </cell>
          <cell r="L504">
            <v>0</v>
          </cell>
        </row>
        <row r="505">
          <cell r="A505">
            <v>2</v>
          </cell>
          <cell r="B505">
            <v>0</v>
          </cell>
          <cell r="C505">
            <v>903</v>
          </cell>
          <cell r="D505">
            <v>93</v>
          </cell>
          <cell r="E505" t="str">
            <v xml:space="preserve">    </v>
          </cell>
          <cell r="F505" t="str">
            <v xml:space="preserve">   </v>
          </cell>
          <cell r="G505">
            <v>2090393</v>
          </cell>
          <cell r="H505">
            <v>2148352.85</v>
          </cell>
          <cell r="I505">
            <v>2148352.85</v>
          </cell>
          <cell r="J505">
            <v>0</v>
          </cell>
          <cell r="K505">
            <v>0</v>
          </cell>
          <cell r="L505">
            <v>0</v>
          </cell>
        </row>
        <row r="506">
          <cell r="A506">
            <v>1</v>
          </cell>
          <cell r="B506">
            <v>0</v>
          </cell>
          <cell r="C506">
            <v>908</v>
          </cell>
          <cell r="D506">
            <v>0</v>
          </cell>
          <cell r="E506" t="str">
            <v xml:space="preserve">    </v>
          </cell>
          <cell r="F506" t="str">
            <v xml:space="preserve">   </v>
          </cell>
          <cell r="G506">
            <v>1090800</v>
          </cell>
          <cell r="H506">
            <v>27131.61</v>
          </cell>
          <cell r="I506">
            <v>16195.95</v>
          </cell>
          <cell r="J506">
            <v>3842.75</v>
          </cell>
          <cell r="K506">
            <v>7092.91</v>
          </cell>
          <cell r="L506">
            <v>0</v>
          </cell>
        </row>
        <row r="507">
          <cell r="A507">
            <v>2</v>
          </cell>
          <cell r="B507">
            <v>0</v>
          </cell>
          <cell r="C507">
            <v>908</v>
          </cell>
          <cell r="D507">
            <v>0</v>
          </cell>
          <cell r="E507" t="str">
            <v xml:space="preserve">    </v>
          </cell>
          <cell r="F507" t="str">
            <v xml:space="preserve">   </v>
          </cell>
          <cell r="G507">
            <v>2090800</v>
          </cell>
          <cell r="H507">
            <v>200899.86</v>
          </cell>
          <cell r="I507">
            <v>81454.62</v>
          </cell>
          <cell r="J507">
            <v>47159.19</v>
          </cell>
          <cell r="K507">
            <v>72286.05</v>
          </cell>
          <cell r="L507">
            <v>0</v>
          </cell>
        </row>
        <row r="508">
          <cell r="A508">
            <v>1</v>
          </cell>
          <cell r="B508">
            <v>0</v>
          </cell>
          <cell r="C508">
            <v>908</v>
          </cell>
          <cell r="D508">
            <v>10</v>
          </cell>
          <cell r="E508" t="str">
            <v xml:space="preserve">    </v>
          </cell>
          <cell r="F508" t="str">
            <v xml:space="preserve">   </v>
          </cell>
          <cell r="G508">
            <v>1090810</v>
          </cell>
          <cell r="H508">
            <v>9032.3700000000008</v>
          </cell>
          <cell r="I508">
            <v>8641.67</v>
          </cell>
          <cell r="J508">
            <v>0</v>
          </cell>
          <cell r="K508">
            <v>390.7</v>
          </cell>
          <cell r="L508">
            <v>0</v>
          </cell>
        </row>
        <row r="509">
          <cell r="A509">
            <v>2</v>
          </cell>
          <cell r="B509">
            <v>0</v>
          </cell>
          <cell r="C509">
            <v>908</v>
          </cell>
          <cell r="D509">
            <v>10</v>
          </cell>
          <cell r="E509" t="str">
            <v xml:space="preserve">    </v>
          </cell>
          <cell r="F509" t="str">
            <v xml:space="preserve">   </v>
          </cell>
          <cell r="G509">
            <v>2090810</v>
          </cell>
          <cell r="H509">
            <v>90372.68</v>
          </cell>
          <cell r="I509">
            <v>87147.98</v>
          </cell>
          <cell r="J509">
            <v>0</v>
          </cell>
          <cell r="K509">
            <v>3224.7</v>
          </cell>
          <cell r="L509">
            <v>0</v>
          </cell>
        </row>
        <row r="510">
          <cell r="A510">
            <v>1</v>
          </cell>
          <cell r="B510">
            <v>0</v>
          </cell>
          <cell r="C510">
            <v>908</v>
          </cell>
          <cell r="D510">
            <v>25</v>
          </cell>
          <cell r="E510" t="str">
            <v xml:space="preserve">    </v>
          </cell>
          <cell r="F510" t="str">
            <v xml:space="preserve">   </v>
          </cell>
          <cell r="G510">
            <v>1090825</v>
          </cell>
          <cell r="H510">
            <v>10199.15</v>
          </cell>
          <cell r="I510">
            <v>10199.15</v>
          </cell>
          <cell r="J510">
            <v>0</v>
          </cell>
          <cell r="K510">
            <v>0</v>
          </cell>
          <cell r="L510">
            <v>0</v>
          </cell>
        </row>
        <row r="511">
          <cell r="A511">
            <v>2</v>
          </cell>
          <cell r="B511">
            <v>0</v>
          </cell>
          <cell r="C511">
            <v>908</v>
          </cell>
          <cell r="D511">
            <v>25</v>
          </cell>
          <cell r="E511" t="str">
            <v xml:space="preserve">    </v>
          </cell>
          <cell r="F511" t="str">
            <v xml:space="preserve">   </v>
          </cell>
          <cell r="G511">
            <v>2090825</v>
          </cell>
          <cell r="H511">
            <v>122167.78</v>
          </cell>
          <cell r="I511">
            <v>122167.78</v>
          </cell>
          <cell r="J511">
            <v>0</v>
          </cell>
          <cell r="K511">
            <v>0</v>
          </cell>
          <cell r="L511">
            <v>0</v>
          </cell>
        </row>
        <row r="512">
          <cell r="A512">
            <v>1</v>
          </cell>
          <cell r="B512">
            <v>0</v>
          </cell>
          <cell r="C512">
            <v>908</v>
          </cell>
          <cell r="D512">
            <v>60</v>
          </cell>
          <cell r="E512" t="str">
            <v xml:space="preserve">    </v>
          </cell>
          <cell r="F512" t="str">
            <v xml:space="preserve">   </v>
          </cell>
          <cell r="G512">
            <v>1090860</v>
          </cell>
          <cell r="H512">
            <v>452176.48</v>
          </cell>
          <cell r="I512">
            <v>0</v>
          </cell>
          <cell r="J512">
            <v>320042.06</v>
          </cell>
          <cell r="K512">
            <v>132134.42000000001</v>
          </cell>
          <cell r="L512">
            <v>0</v>
          </cell>
        </row>
        <row r="513">
          <cell r="A513">
            <v>2</v>
          </cell>
          <cell r="B513">
            <v>0</v>
          </cell>
          <cell r="C513">
            <v>908</v>
          </cell>
          <cell r="D513">
            <v>60</v>
          </cell>
          <cell r="E513" t="str">
            <v xml:space="preserve">    </v>
          </cell>
          <cell r="F513" t="str">
            <v xml:space="preserve">   </v>
          </cell>
          <cell r="G513">
            <v>2090860</v>
          </cell>
          <cell r="H513">
            <v>4796264.92</v>
          </cell>
          <cell r="I513">
            <v>0</v>
          </cell>
          <cell r="J513">
            <v>3373420.51</v>
          </cell>
          <cell r="K513">
            <v>1422844.41</v>
          </cell>
          <cell r="L513">
            <v>0</v>
          </cell>
        </row>
        <row r="514">
          <cell r="A514">
            <v>1</v>
          </cell>
          <cell r="B514">
            <v>0</v>
          </cell>
          <cell r="C514">
            <v>908</v>
          </cell>
          <cell r="D514">
            <v>75</v>
          </cell>
          <cell r="E514" t="str">
            <v xml:space="preserve">    </v>
          </cell>
          <cell r="F514" t="str">
            <v xml:space="preserve">   </v>
          </cell>
          <cell r="G514">
            <v>1090875</v>
          </cell>
          <cell r="H514">
            <v>19133.900000000001</v>
          </cell>
          <cell r="I514">
            <v>0</v>
          </cell>
          <cell r="J514">
            <v>9139.91</v>
          </cell>
          <cell r="K514">
            <v>9993.99</v>
          </cell>
          <cell r="L514">
            <v>0</v>
          </cell>
        </row>
        <row r="515">
          <cell r="A515">
            <v>2</v>
          </cell>
          <cell r="B515">
            <v>0</v>
          </cell>
          <cell r="C515">
            <v>908</v>
          </cell>
          <cell r="D515">
            <v>75</v>
          </cell>
          <cell r="E515" t="str">
            <v xml:space="preserve">    </v>
          </cell>
          <cell r="F515" t="str">
            <v xml:space="preserve">   </v>
          </cell>
          <cell r="G515">
            <v>2090875</v>
          </cell>
          <cell r="H515">
            <v>229606.8</v>
          </cell>
          <cell r="I515">
            <v>0</v>
          </cell>
          <cell r="J515">
            <v>109678.92</v>
          </cell>
          <cell r="K515">
            <v>119927.88</v>
          </cell>
          <cell r="L515">
            <v>0</v>
          </cell>
        </row>
        <row r="516">
          <cell r="A516">
            <v>1</v>
          </cell>
          <cell r="B516">
            <v>0</v>
          </cell>
          <cell r="C516">
            <v>908</v>
          </cell>
          <cell r="D516">
            <v>79</v>
          </cell>
          <cell r="E516" t="str">
            <v xml:space="preserve">    </v>
          </cell>
          <cell r="F516" t="str">
            <v xml:space="preserve">   </v>
          </cell>
          <cell r="G516">
            <v>1090879</v>
          </cell>
          <cell r="H516">
            <v>338666.76</v>
          </cell>
          <cell r="I516">
            <v>0</v>
          </cell>
          <cell r="J516">
            <v>235808.5</v>
          </cell>
          <cell r="K516">
            <v>102858.26</v>
          </cell>
          <cell r="L516">
            <v>0</v>
          </cell>
        </row>
        <row r="517">
          <cell r="A517">
            <v>2</v>
          </cell>
          <cell r="B517">
            <v>0</v>
          </cell>
          <cell r="C517">
            <v>908</v>
          </cell>
          <cell r="D517">
            <v>79</v>
          </cell>
          <cell r="E517" t="str">
            <v xml:space="preserve">    </v>
          </cell>
          <cell r="F517" t="str">
            <v xml:space="preserve">   </v>
          </cell>
          <cell r="G517">
            <v>2090879</v>
          </cell>
          <cell r="H517">
            <v>4064001.12</v>
          </cell>
          <cell r="I517">
            <v>0</v>
          </cell>
          <cell r="J517">
            <v>2829702</v>
          </cell>
          <cell r="K517">
            <v>1234299.1200000001</v>
          </cell>
          <cell r="L517">
            <v>0</v>
          </cell>
        </row>
        <row r="518">
          <cell r="A518">
            <v>1</v>
          </cell>
          <cell r="B518">
            <v>0</v>
          </cell>
          <cell r="C518">
            <v>908</v>
          </cell>
          <cell r="D518">
            <v>90</v>
          </cell>
          <cell r="E518" t="str">
            <v xml:space="preserve">    </v>
          </cell>
          <cell r="F518" t="str">
            <v xml:space="preserve">   </v>
          </cell>
          <cell r="G518">
            <v>1090890</v>
          </cell>
          <cell r="H518">
            <v>986.91</v>
          </cell>
          <cell r="I518">
            <v>986.91</v>
          </cell>
          <cell r="J518">
            <v>0</v>
          </cell>
          <cell r="K518">
            <v>0</v>
          </cell>
          <cell r="L518">
            <v>0</v>
          </cell>
        </row>
        <row r="519">
          <cell r="A519">
            <v>2</v>
          </cell>
          <cell r="B519">
            <v>0</v>
          </cell>
          <cell r="C519">
            <v>908</v>
          </cell>
          <cell r="D519">
            <v>90</v>
          </cell>
          <cell r="E519" t="str">
            <v xml:space="preserve">    </v>
          </cell>
          <cell r="F519" t="str">
            <v xml:space="preserve">   </v>
          </cell>
          <cell r="G519">
            <v>2090890</v>
          </cell>
          <cell r="H519">
            <v>6510.01</v>
          </cell>
          <cell r="I519">
            <v>6510.01</v>
          </cell>
          <cell r="J519">
            <v>0</v>
          </cell>
          <cell r="K519">
            <v>0</v>
          </cell>
          <cell r="L519">
            <v>0</v>
          </cell>
        </row>
        <row r="520">
          <cell r="A520">
            <v>1</v>
          </cell>
          <cell r="B520">
            <v>0</v>
          </cell>
          <cell r="C520">
            <v>999</v>
          </cell>
          <cell r="D520">
            <v>1</v>
          </cell>
          <cell r="E520" t="str">
            <v xml:space="preserve">    </v>
          </cell>
          <cell r="F520" t="str">
            <v xml:space="preserve">   </v>
          </cell>
          <cell r="G520">
            <v>1099901</v>
          </cell>
          <cell r="H520">
            <v>-3190378</v>
          </cell>
          <cell r="I520">
            <v>-3190378</v>
          </cell>
          <cell r="J520">
            <v>0</v>
          </cell>
          <cell r="K520">
            <v>0</v>
          </cell>
          <cell r="L520">
            <v>0</v>
          </cell>
        </row>
        <row r="521">
          <cell r="A521">
            <v>2</v>
          </cell>
          <cell r="B521">
            <v>0</v>
          </cell>
          <cell r="C521">
            <v>999</v>
          </cell>
          <cell r="D521">
            <v>1</v>
          </cell>
          <cell r="E521" t="str">
            <v xml:space="preserve">    </v>
          </cell>
          <cell r="F521" t="str">
            <v xml:space="preserve">   </v>
          </cell>
          <cell r="G521">
            <v>2099901</v>
          </cell>
          <cell r="H521">
            <v>-40327452</v>
          </cell>
          <cell r="I521">
            <v>-40327452</v>
          </cell>
          <cell r="J521">
            <v>0</v>
          </cell>
          <cell r="K521">
            <v>0</v>
          </cell>
          <cell r="L521">
            <v>0</v>
          </cell>
        </row>
        <row r="522">
          <cell r="A522">
            <v>1</v>
          </cell>
          <cell r="B522">
            <v>0</v>
          </cell>
          <cell r="C522">
            <v>999</v>
          </cell>
          <cell r="D522">
            <v>2</v>
          </cell>
          <cell r="E522" t="str">
            <v xml:space="preserve">    </v>
          </cell>
          <cell r="F522" t="str">
            <v xml:space="preserve">   </v>
          </cell>
          <cell r="G522">
            <v>1099902</v>
          </cell>
          <cell r="H522">
            <v>-153113</v>
          </cell>
          <cell r="I522">
            <v>-153113</v>
          </cell>
          <cell r="J522">
            <v>0</v>
          </cell>
          <cell r="K522">
            <v>0</v>
          </cell>
          <cell r="L522">
            <v>0</v>
          </cell>
        </row>
        <row r="523">
          <cell r="A523">
            <v>2</v>
          </cell>
          <cell r="B523">
            <v>0</v>
          </cell>
          <cell r="C523">
            <v>999</v>
          </cell>
          <cell r="D523">
            <v>2</v>
          </cell>
          <cell r="E523" t="str">
            <v xml:space="preserve">    </v>
          </cell>
          <cell r="F523" t="str">
            <v xml:space="preserve">   </v>
          </cell>
          <cell r="G523">
            <v>2099902</v>
          </cell>
          <cell r="H523">
            <v>-3290455</v>
          </cell>
          <cell r="I523">
            <v>-3290455</v>
          </cell>
          <cell r="J523">
            <v>0</v>
          </cell>
          <cell r="K523">
            <v>0</v>
          </cell>
          <cell r="L523">
            <v>0</v>
          </cell>
        </row>
        <row r="524">
          <cell r="A524">
            <v>1</v>
          </cell>
          <cell r="B524">
            <v>0</v>
          </cell>
          <cell r="C524">
            <v>999</v>
          </cell>
          <cell r="D524">
            <v>3</v>
          </cell>
          <cell r="E524" t="str">
            <v xml:space="preserve">    </v>
          </cell>
          <cell r="F524" t="str">
            <v xml:space="preserve">   </v>
          </cell>
          <cell r="G524">
            <v>1099903</v>
          </cell>
          <cell r="H524">
            <v>-62886</v>
          </cell>
          <cell r="I524">
            <v>-62886</v>
          </cell>
          <cell r="J524">
            <v>0</v>
          </cell>
          <cell r="K524">
            <v>0</v>
          </cell>
          <cell r="L524">
            <v>0</v>
          </cell>
        </row>
        <row r="525">
          <cell r="A525">
            <v>2</v>
          </cell>
          <cell r="B525">
            <v>0</v>
          </cell>
          <cell r="C525">
            <v>999</v>
          </cell>
          <cell r="D525">
            <v>3</v>
          </cell>
          <cell r="E525" t="str">
            <v xml:space="preserve">    </v>
          </cell>
          <cell r="F525" t="str">
            <v xml:space="preserve">   </v>
          </cell>
          <cell r="G525">
            <v>2099903</v>
          </cell>
          <cell r="H525">
            <v>-374746</v>
          </cell>
          <cell r="I525">
            <v>-374746</v>
          </cell>
          <cell r="J525">
            <v>0</v>
          </cell>
          <cell r="K525">
            <v>0</v>
          </cell>
          <cell r="L525">
            <v>0</v>
          </cell>
        </row>
        <row r="526">
          <cell r="A526">
            <v>1</v>
          </cell>
          <cell r="B526">
            <v>0</v>
          </cell>
          <cell r="C526">
            <v>999</v>
          </cell>
          <cell r="D526">
            <v>4</v>
          </cell>
          <cell r="E526" t="str">
            <v xml:space="preserve">    </v>
          </cell>
          <cell r="F526" t="str">
            <v xml:space="preserve">   </v>
          </cell>
          <cell r="G526">
            <v>1099904</v>
          </cell>
          <cell r="H526">
            <v>-92804</v>
          </cell>
          <cell r="I526">
            <v>-92804</v>
          </cell>
          <cell r="J526">
            <v>0</v>
          </cell>
          <cell r="K526">
            <v>0</v>
          </cell>
          <cell r="L526">
            <v>0</v>
          </cell>
        </row>
        <row r="527">
          <cell r="A527">
            <v>2</v>
          </cell>
          <cell r="B527">
            <v>0</v>
          </cell>
          <cell r="C527">
            <v>999</v>
          </cell>
          <cell r="D527">
            <v>4</v>
          </cell>
          <cell r="E527" t="str">
            <v xml:space="preserve">    </v>
          </cell>
          <cell r="F527" t="str">
            <v xml:space="preserve">   </v>
          </cell>
          <cell r="G527">
            <v>2099904</v>
          </cell>
          <cell r="H527">
            <v>-1096069</v>
          </cell>
          <cell r="I527">
            <v>-1096069</v>
          </cell>
          <cell r="J527">
            <v>0</v>
          </cell>
          <cell r="K527">
            <v>0</v>
          </cell>
          <cell r="L527">
            <v>0</v>
          </cell>
        </row>
        <row r="528">
          <cell r="A528">
            <v>1</v>
          </cell>
          <cell r="B528">
            <v>0</v>
          </cell>
          <cell r="C528">
            <v>999</v>
          </cell>
          <cell r="D528">
            <v>5</v>
          </cell>
          <cell r="E528" t="str">
            <v xml:space="preserve">    </v>
          </cell>
          <cell r="F528" t="str">
            <v xml:space="preserve">   </v>
          </cell>
          <cell r="G528">
            <v>1099905</v>
          </cell>
          <cell r="H528">
            <v>0</v>
          </cell>
          <cell r="I528">
            <v>0</v>
          </cell>
          <cell r="J528">
            <v>0</v>
          </cell>
          <cell r="K528">
            <v>0</v>
          </cell>
          <cell r="L528">
            <v>0</v>
          </cell>
        </row>
        <row r="529">
          <cell r="A529">
            <v>2</v>
          </cell>
          <cell r="B529">
            <v>0</v>
          </cell>
          <cell r="C529">
            <v>999</v>
          </cell>
          <cell r="D529">
            <v>5</v>
          </cell>
          <cell r="E529" t="str">
            <v xml:space="preserve">    </v>
          </cell>
          <cell r="F529" t="str">
            <v xml:space="preserve">   </v>
          </cell>
          <cell r="G529">
            <v>2099905</v>
          </cell>
          <cell r="H529">
            <v>-5304</v>
          </cell>
          <cell r="I529">
            <v>-5304</v>
          </cell>
          <cell r="J529">
            <v>0</v>
          </cell>
          <cell r="K529">
            <v>0</v>
          </cell>
          <cell r="L529">
            <v>0</v>
          </cell>
        </row>
        <row r="530">
          <cell r="A530">
            <v>1</v>
          </cell>
          <cell r="B530">
            <v>0</v>
          </cell>
          <cell r="C530">
            <v>999</v>
          </cell>
          <cell r="D530">
            <v>7</v>
          </cell>
          <cell r="E530" t="str">
            <v xml:space="preserve">    </v>
          </cell>
          <cell r="F530" t="str">
            <v xml:space="preserve">   </v>
          </cell>
          <cell r="G530">
            <v>1099907</v>
          </cell>
          <cell r="H530">
            <v>-24791</v>
          </cell>
          <cell r="I530">
            <v>-24791</v>
          </cell>
          <cell r="J530">
            <v>0</v>
          </cell>
          <cell r="K530">
            <v>0</v>
          </cell>
          <cell r="L530">
            <v>0</v>
          </cell>
        </row>
        <row r="531">
          <cell r="A531">
            <v>2</v>
          </cell>
          <cell r="B531">
            <v>0</v>
          </cell>
          <cell r="C531">
            <v>999</v>
          </cell>
          <cell r="D531">
            <v>7</v>
          </cell>
          <cell r="E531" t="str">
            <v xml:space="preserve">    </v>
          </cell>
          <cell r="F531" t="str">
            <v xml:space="preserve">   </v>
          </cell>
          <cell r="G531">
            <v>2099907</v>
          </cell>
          <cell r="H531">
            <v>-286496</v>
          </cell>
          <cell r="I531">
            <v>-286496</v>
          </cell>
          <cell r="J531">
            <v>0</v>
          </cell>
          <cell r="K531">
            <v>0</v>
          </cell>
          <cell r="L531">
            <v>0</v>
          </cell>
        </row>
        <row r="532">
          <cell r="A532">
            <v>1</v>
          </cell>
          <cell r="B532">
            <v>0</v>
          </cell>
          <cell r="C532">
            <v>999</v>
          </cell>
          <cell r="D532">
            <v>8</v>
          </cell>
          <cell r="E532" t="str">
            <v xml:space="preserve">    </v>
          </cell>
          <cell r="F532" t="str">
            <v xml:space="preserve">   </v>
          </cell>
          <cell r="G532">
            <v>1099908</v>
          </cell>
          <cell r="H532">
            <v>0</v>
          </cell>
          <cell r="I532">
            <v>0</v>
          </cell>
          <cell r="J532">
            <v>0</v>
          </cell>
          <cell r="K532">
            <v>0</v>
          </cell>
          <cell r="L532">
            <v>0</v>
          </cell>
        </row>
        <row r="533">
          <cell r="A533">
            <v>2</v>
          </cell>
          <cell r="B533">
            <v>0</v>
          </cell>
          <cell r="C533">
            <v>999</v>
          </cell>
          <cell r="D533">
            <v>8</v>
          </cell>
          <cell r="E533" t="str">
            <v xml:space="preserve">    </v>
          </cell>
          <cell r="F533" t="str">
            <v xml:space="preserve">   </v>
          </cell>
          <cell r="G533">
            <v>2099908</v>
          </cell>
          <cell r="H533">
            <v>0</v>
          </cell>
          <cell r="I533">
            <v>0</v>
          </cell>
          <cell r="J533">
            <v>0</v>
          </cell>
          <cell r="K533">
            <v>0</v>
          </cell>
          <cell r="L533">
            <v>0</v>
          </cell>
        </row>
        <row r="534">
          <cell r="A534">
            <v>1</v>
          </cell>
          <cell r="B534">
            <v>0</v>
          </cell>
          <cell r="C534">
            <v>999</v>
          </cell>
          <cell r="D534">
            <v>9</v>
          </cell>
          <cell r="E534" t="str">
            <v xml:space="preserve">    </v>
          </cell>
          <cell r="F534" t="str">
            <v xml:space="preserve">   </v>
          </cell>
          <cell r="G534">
            <v>1099909</v>
          </cell>
          <cell r="H534">
            <v>0</v>
          </cell>
          <cell r="I534">
            <v>0</v>
          </cell>
          <cell r="J534">
            <v>0</v>
          </cell>
          <cell r="K534">
            <v>0</v>
          </cell>
          <cell r="L534">
            <v>0</v>
          </cell>
        </row>
        <row r="535">
          <cell r="A535">
            <v>2</v>
          </cell>
          <cell r="B535">
            <v>0</v>
          </cell>
          <cell r="C535">
            <v>999</v>
          </cell>
          <cell r="D535">
            <v>9</v>
          </cell>
          <cell r="E535" t="str">
            <v xml:space="preserve">    </v>
          </cell>
          <cell r="F535" t="str">
            <v xml:space="preserve">   </v>
          </cell>
          <cell r="G535">
            <v>2099909</v>
          </cell>
          <cell r="H535">
            <v>-41398</v>
          </cell>
          <cell r="I535">
            <v>0</v>
          </cell>
          <cell r="J535">
            <v>-41398</v>
          </cell>
          <cell r="K535">
            <v>0</v>
          </cell>
          <cell r="L535">
            <v>0</v>
          </cell>
        </row>
        <row r="536">
          <cell r="A536">
            <v>1</v>
          </cell>
          <cell r="B536">
            <v>0</v>
          </cell>
          <cell r="C536">
            <v>999</v>
          </cell>
          <cell r="D536">
            <v>10</v>
          </cell>
          <cell r="E536" t="str">
            <v xml:space="preserve">    </v>
          </cell>
          <cell r="F536" t="str">
            <v xml:space="preserve">   </v>
          </cell>
          <cell r="G536">
            <v>1099910</v>
          </cell>
          <cell r="H536">
            <v>-209000</v>
          </cell>
          <cell r="I536">
            <v>-209000</v>
          </cell>
          <cell r="J536">
            <v>0</v>
          </cell>
          <cell r="K536">
            <v>0</v>
          </cell>
          <cell r="L536">
            <v>0</v>
          </cell>
        </row>
        <row r="537">
          <cell r="A537">
            <v>2</v>
          </cell>
          <cell r="B537">
            <v>0</v>
          </cell>
          <cell r="C537">
            <v>999</v>
          </cell>
          <cell r="D537">
            <v>10</v>
          </cell>
          <cell r="E537" t="str">
            <v xml:space="preserve">    </v>
          </cell>
          <cell r="F537" t="str">
            <v xml:space="preserve">   </v>
          </cell>
          <cell r="G537">
            <v>2099910</v>
          </cell>
          <cell r="H537">
            <v>-3379000</v>
          </cell>
          <cell r="I537">
            <v>-3379000</v>
          </cell>
          <cell r="J537">
            <v>0</v>
          </cell>
          <cell r="K537">
            <v>0</v>
          </cell>
          <cell r="L537">
            <v>0</v>
          </cell>
        </row>
        <row r="538">
          <cell r="A538">
            <v>1</v>
          </cell>
          <cell r="B538">
            <v>0</v>
          </cell>
          <cell r="C538">
            <v>999</v>
          </cell>
          <cell r="D538">
            <v>11</v>
          </cell>
          <cell r="E538" t="str">
            <v xml:space="preserve">    </v>
          </cell>
          <cell r="F538" t="str">
            <v xml:space="preserve">   </v>
          </cell>
          <cell r="G538">
            <v>1099911</v>
          </cell>
          <cell r="H538">
            <v>-329218</v>
          </cell>
          <cell r="I538">
            <v>-329218</v>
          </cell>
          <cell r="J538">
            <v>0</v>
          </cell>
          <cell r="K538">
            <v>0</v>
          </cell>
          <cell r="L538">
            <v>0</v>
          </cell>
        </row>
        <row r="539">
          <cell r="A539">
            <v>2</v>
          </cell>
          <cell r="B539">
            <v>0</v>
          </cell>
          <cell r="C539">
            <v>999</v>
          </cell>
          <cell r="D539">
            <v>11</v>
          </cell>
          <cell r="E539" t="str">
            <v xml:space="preserve">    </v>
          </cell>
          <cell r="F539" t="str">
            <v xml:space="preserve">   </v>
          </cell>
          <cell r="G539">
            <v>2099911</v>
          </cell>
          <cell r="H539">
            <v>-3950616</v>
          </cell>
          <cell r="I539">
            <v>-3950616</v>
          </cell>
          <cell r="J539">
            <v>0</v>
          </cell>
          <cell r="K539">
            <v>0</v>
          </cell>
          <cell r="L539">
            <v>0</v>
          </cell>
        </row>
        <row r="540">
          <cell r="A540">
            <v>1</v>
          </cell>
          <cell r="B540">
            <v>0</v>
          </cell>
          <cell r="C540">
            <v>999</v>
          </cell>
          <cell r="D540">
            <v>12</v>
          </cell>
          <cell r="E540" t="str">
            <v xml:space="preserve">    </v>
          </cell>
          <cell r="F540" t="str">
            <v xml:space="preserve">   </v>
          </cell>
          <cell r="G540">
            <v>1099912</v>
          </cell>
          <cell r="H540">
            <v>-93937</v>
          </cell>
          <cell r="I540">
            <v>-93937</v>
          </cell>
          <cell r="J540">
            <v>0</v>
          </cell>
          <cell r="K540">
            <v>0</v>
          </cell>
          <cell r="L540">
            <v>0</v>
          </cell>
        </row>
        <row r="541">
          <cell r="A541">
            <v>2</v>
          </cell>
          <cell r="B541">
            <v>0</v>
          </cell>
          <cell r="C541">
            <v>999</v>
          </cell>
          <cell r="D541">
            <v>12</v>
          </cell>
          <cell r="E541" t="str">
            <v xml:space="preserve">    </v>
          </cell>
          <cell r="F541" t="str">
            <v xml:space="preserve">   </v>
          </cell>
          <cell r="G541">
            <v>2099912</v>
          </cell>
          <cell r="H541">
            <v>-972562</v>
          </cell>
          <cell r="I541">
            <v>-972562</v>
          </cell>
          <cell r="J541">
            <v>0</v>
          </cell>
          <cell r="K541">
            <v>0</v>
          </cell>
          <cell r="L541">
            <v>0</v>
          </cell>
        </row>
        <row r="542">
          <cell r="A542">
            <v>1</v>
          </cell>
          <cell r="B542">
            <v>0</v>
          </cell>
          <cell r="C542">
            <v>999</v>
          </cell>
          <cell r="D542">
            <v>16</v>
          </cell>
          <cell r="E542" t="str">
            <v xml:space="preserve">    </v>
          </cell>
          <cell r="F542" t="str">
            <v xml:space="preserve">   </v>
          </cell>
          <cell r="G542">
            <v>1099916</v>
          </cell>
          <cell r="H542">
            <v>-37922</v>
          </cell>
          <cell r="I542">
            <v>-37922</v>
          </cell>
          <cell r="J542">
            <v>0</v>
          </cell>
          <cell r="K542">
            <v>0</v>
          </cell>
          <cell r="L542">
            <v>0</v>
          </cell>
        </row>
        <row r="543">
          <cell r="A543">
            <v>2</v>
          </cell>
          <cell r="B543">
            <v>0</v>
          </cell>
          <cell r="C543">
            <v>999</v>
          </cell>
          <cell r="D543">
            <v>16</v>
          </cell>
          <cell r="E543" t="str">
            <v xml:space="preserve">    </v>
          </cell>
          <cell r="F543" t="str">
            <v xml:space="preserve">   </v>
          </cell>
          <cell r="G543">
            <v>2099916</v>
          </cell>
          <cell r="H543">
            <v>-455064</v>
          </cell>
          <cell r="I543">
            <v>-455064</v>
          </cell>
          <cell r="J543">
            <v>0</v>
          </cell>
          <cell r="K543">
            <v>0</v>
          </cell>
          <cell r="L543">
            <v>0</v>
          </cell>
        </row>
        <row r="544">
          <cell r="A544">
            <v>1</v>
          </cell>
          <cell r="B544">
            <v>0</v>
          </cell>
          <cell r="C544">
            <v>999</v>
          </cell>
          <cell r="D544">
            <v>19</v>
          </cell>
          <cell r="E544" t="str">
            <v xml:space="preserve">    </v>
          </cell>
          <cell r="F544" t="str">
            <v xml:space="preserve">   </v>
          </cell>
          <cell r="G544">
            <v>1099919</v>
          </cell>
          <cell r="H544">
            <v>-150836</v>
          </cell>
          <cell r="I544">
            <v>-150836</v>
          </cell>
          <cell r="J544">
            <v>0</v>
          </cell>
          <cell r="K544">
            <v>0</v>
          </cell>
          <cell r="L544">
            <v>0</v>
          </cell>
        </row>
        <row r="545">
          <cell r="A545">
            <v>2</v>
          </cell>
          <cell r="B545">
            <v>0</v>
          </cell>
          <cell r="C545">
            <v>999</v>
          </cell>
          <cell r="D545">
            <v>19</v>
          </cell>
          <cell r="E545" t="str">
            <v xml:space="preserve">    </v>
          </cell>
          <cell r="F545" t="str">
            <v xml:space="preserve">   </v>
          </cell>
          <cell r="G545">
            <v>2099919</v>
          </cell>
          <cell r="H545">
            <v>-1622463</v>
          </cell>
          <cell r="I545">
            <v>-1622463</v>
          </cell>
          <cell r="J545">
            <v>0</v>
          </cell>
          <cell r="K545">
            <v>0</v>
          </cell>
          <cell r="L545">
            <v>0</v>
          </cell>
        </row>
        <row r="546">
          <cell r="A546">
            <v>1</v>
          </cell>
          <cell r="B546">
            <v>0</v>
          </cell>
          <cell r="C546">
            <v>999</v>
          </cell>
          <cell r="D546">
            <v>20</v>
          </cell>
          <cell r="E546" t="str">
            <v xml:space="preserve">    </v>
          </cell>
          <cell r="F546" t="str">
            <v xml:space="preserve">   </v>
          </cell>
          <cell r="G546">
            <v>1099920</v>
          </cell>
          <cell r="H546">
            <v>-210994</v>
          </cell>
          <cell r="I546">
            <v>-210994</v>
          </cell>
          <cell r="J546">
            <v>0</v>
          </cell>
          <cell r="K546">
            <v>0</v>
          </cell>
          <cell r="L546">
            <v>0</v>
          </cell>
        </row>
        <row r="547">
          <cell r="A547">
            <v>2</v>
          </cell>
          <cell r="B547">
            <v>0</v>
          </cell>
          <cell r="C547">
            <v>999</v>
          </cell>
          <cell r="D547">
            <v>20</v>
          </cell>
          <cell r="E547" t="str">
            <v xml:space="preserve">    </v>
          </cell>
          <cell r="F547" t="str">
            <v xml:space="preserve">   </v>
          </cell>
          <cell r="G547">
            <v>2099920</v>
          </cell>
          <cell r="H547">
            <v>-2531928</v>
          </cell>
          <cell r="I547">
            <v>-2531928</v>
          </cell>
          <cell r="J547">
            <v>0</v>
          </cell>
          <cell r="K547">
            <v>0</v>
          </cell>
          <cell r="L547">
            <v>0</v>
          </cell>
        </row>
        <row r="548">
          <cell r="A548">
            <v>1</v>
          </cell>
          <cell r="B548">
            <v>0</v>
          </cell>
          <cell r="C548">
            <v>999</v>
          </cell>
          <cell r="D548">
            <v>22</v>
          </cell>
          <cell r="E548" t="str">
            <v xml:space="preserve">    </v>
          </cell>
          <cell r="F548" t="str">
            <v xml:space="preserve">   </v>
          </cell>
          <cell r="G548">
            <v>1099922</v>
          </cell>
          <cell r="H548">
            <v>-279429</v>
          </cell>
          <cell r="I548">
            <v>-279429</v>
          </cell>
          <cell r="J548">
            <v>0</v>
          </cell>
          <cell r="K548">
            <v>0</v>
          </cell>
          <cell r="L548">
            <v>0</v>
          </cell>
        </row>
        <row r="549">
          <cell r="A549">
            <v>2</v>
          </cell>
          <cell r="B549">
            <v>0</v>
          </cell>
          <cell r="C549">
            <v>999</v>
          </cell>
          <cell r="D549">
            <v>22</v>
          </cell>
          <cell r="E549" t="str">
            <v xml:space="preserve">    </v>
          </cell>
          <cell r="F549" t="str">
            <v xml:space="preserve">   </v>
          </cell>
          <cell r="G549">
            <v>2099922</v>
          </cell>
          <cell r="H549">
            <v>-3353148</v>
          </cell>
          <cell r="I549">
            <v>-3353148</v>
          </cell>
          <cell r="J549">
            <v>0</v>
          </cell>
          <cell r="K549">
            <v>0</v>
          </cell>
          <cell r="L549">
            <v>0</v>
          </cell>
        </row>
        <row r="550">
          <cell r="A550">
            <v>1</v>
          </cell>
          <cell r="B550">
            <v>0</v>
          </cell>
          <cell r="C550">
            <v>999</v>
          </cell>
          <cell r="D550">
            <v>26</v>
          </cell>
          <cell r="E550" t="str">
            <v xml:space="preserve">    </v>
          </cell>
          <cell r="F550" t="str">
            <v xml:space="preserve">   </v>
          </cell>
          <cell r="G550">
            <v>1099926</v>
          </cell>
          <cell r="H550">
            <v>-98959</v>
          </cell>
          <cell r="I550">
            <v>-98959</v>
          </cell>
          <cell r="J550">
            <v>0</v>
          </cell>
          <cell r="K550">
            <v>0</v>
          </cell>
          <cell r="L550">
            <v>0</v>
          </cell>
        </row>
        <row r="551">
          <cell r="A551">
            <v>2</v>
          </cell>
          <cell r="B551">
            <v>0</v>
          </cell>
          <cell r="C551">
            <v>999</v>
          </cell>
          <cell r="D551">
            <v>26</v>
          </cell>
          <cell r="E551" t="str">
            <v xml:space="preserve">    </v>
          </cell>
          <cell r="F551" t="str">
            <v xml:space="preserve">   </v>
          </cell>
          <cell r="G551">
            <v>2099926</v>
          </cell>
          <cell r="H551">
            <v>-1187507</v>
          </cell>
          <cell r="I551">
            <v>-1187507</v>
          </cell>
          <cell r="J551">
            <v>0</v>
          </cell>
          <cell r="K551">
            <v>0</v>
          </cell>
          <cell r="L551">
            <v>0</v>
          </cell>
        </row>
        <row r="552">
          <cell r="A552">
            <v>1</v>
          </cell>
          <cell r="B552">
            <v>0</v>
          </cell>
          <cell r="C552">
            <v>999</v>
          </cell>
          <cell r="D552">
            <v>27</v>
          </cell>
          <cell r="E552" t="str">
            <v xml:space="preserve">    </v>
          </cell>
          <cell r="F552" t="str">
            <v xml:space="preserve">   </v>
          </cell>
          <cell r="G552">
            <v>1099927</v>
          </cell>
          <cell r="H552">
            <v>132</v>
          </cell>
          <cell r="I552">
            <v>132</v>
          </cell>
          <cell r="J552">
            <v>0</v>
          </cell>
          <cell r="K552">
            <v>0</v>
          </cell>
          <cell r="L552">
            <v>0</v>
          </cell>
        </row>
        <row r="553">
          <cell r="A553">
            <v>2</v>
          </cell>
          <cell r="B553">
            <v>0</v>
          </cell>
          <cell r="C553">
            <v>999</v>
          </cell>
          <cell r="D553">
            <v>27</v>
          </cell>
          <cell r="E553" t="str">
            <v xml:space="preserve">    </v>
          </cell>
          <cell r="F553" t="str">
            <v xml:space="preserve">   </v>
          </cell>
          <cell r="G553">
            <v>2099927</v>
          </cell>
          <cell r="H553">
            <v>1140</v>
          </cell>
          <cell r="I553">
            <v>1140</v>
          </cell>
          <cell r="J553">
            <v>0</v>
          </cell>
          <cell r="K553">
            <v>0</v>
          </cell>
          <cell r="L553">
            <v>0</v>
          </cell>
        </row>
        <row r="554">
          <cell r="A554">
            <v>1</v>
          </cell>
          <cell r="B554">
            <v>0</v>
          </cell>
          <cell r="C554">
            <v>999</v>
          </cell>
          <cell r="D554">
            <v>29</v>
          </cell>
          <cell r="E554" t="str">
            <v xml:space="preserve">    </v>
          </cell>
          <cell r="F554" t="str">
            <v xml:space="preserve">   </v>
          </cell>
          <cell r="G554">
            <v>1099929</v>
          </cell>
          <cell r="H554">
            <v>-9449</v>
          </cell>
          <cell r="I554">
            <v>-9449</v>
          </cell>
          <cell r="J554">
            <v>0</v>
          </cell>
          <cell r="K554">
            <v>0</v>
          </cell>
          <cell r="L554">
            <v>0</v>
          </cell>
        </row>
        <row r="555">
          <cell r="A555">
            <v>2</v>
          </cell>
          <cell r="B555">
            <v>0</v>
          </cell>
          <cell r="C555">
            <v>999</v>
          </cell>
          <cell r="D555">
            <v>29</v>
          </cell>
          <cell r="E555" t="str">
            <v xml:space="preserve">    </v>
          </cell>
          <cell r="F555" t="str">
            <v xml:space="preserve">   </v>
          </cell>
          <cell r="G555">
            <v>2099929</v>
          </cell>
          <cell r="H555">
            <v>-113388</v>
          </cell>
          <cell r="I555">
            <v>-113388</v>
          </cell>
          <cell r="J555">
            <v>0</v>
          </cell>
          <cell r="K555">
            <v>0</v>
          </cell>
          <cell r="L555">
            <v>0</v>
          </cell>
        </row>
        <row r="556">
          <cell r="A556">
            <v>1</v>
          </cell>
          <cell r="B556">
            <v>0</v>
          </cell>
          <cell r="C556">
            <v>999</v>
          </cell>
          <cell r="D556">
            <v>30</v>
          </cell>
          <cell r="E556" t="str">
            <v xml:space="preserve">    </v>
          </cell>
          <cell r="F556" t="str">
            <v xml:space="preserve">   </v>
          </cell>
          <cell r="G556">
            <v>1099930</v>
          </cell>
          <cell r="H556">
            <v>-19134</v>
          </cell>
          <cell r="I556">
            <v>-19134</v>
          </cell>
          <cell r="J556">
            <v>0</v>
          </cell>
          <cell r="K556">
            <v>0</v>
          </cell>
          <cell r="L556">
            <v>0</v>
          </cell>
        </row>
        <row r="557">
          <cell r="A557">
            <v>2</v>
          </cell>
          <cell r="B557">
            <v>0</v>
          </cell>
          <cell r="C557">
            <v>999</v>
          </cell>
          <cell r="D557">
            <v>30</v>
          </cell>
          <cell r="E557" t="str">
            <v xml:space="preserve">    </v>
          </cell>
          <cell r="F557" t="str">
            <v xml:space="preserve">   </v>
          </cell>
          <cell r="G557">
            <v>2099930</v>
          </cell>
          <cell r="H557">
            <v>-229608</v>
          </cell>
          <cell r="I557">
            <v>-229608</v>
          </cell>
          <cell r="J557">
            <v>0</v>
          </cell>
          <cell r="K557">
            <v>0</v>
          </cell>
          <cell r="L557">
            <v>0</v>
          </cell>
        </row>
        <row r="558">
          <cell r="A558">
            <v>1</v>
          </cell>
          <cell r="B558">
            <v>0</v>
          </cell>
          <cell r="C558">
            <v>999</v>
          </cell>
          <cell r="D558">
            <v>33</v>
          </cell>
          <cell r="E558" t="str">
            <v xml:space="preserve">    </v>
          </cell>
          <cell r="F558" t="str">
            <v xml:space="preserve">   </v>
          </cell>
          <cell r="G558">
            <v>1099933</v>
          </cell>
          <cell r="H558">
            <v>0</v>
          </cell>
          <cell r="I558">
            <v>0</v>
          </cell>
          <cell r="J558">
            <v>0</v>
          </cell>
          <cell r="K558">
            <v>0</v>
          </cell>
          <cell r="L558">
            <v>0</v>
          </cell>
        </row>
        <row r="559">
          <cell r="A559">
            <v>2</v>
          </cell>
          <cell r="B559">
            <v>0</v>
          </cell>
          <cell r="C559">
            <v>999</v>
          </cell>
          <cell r="D559">
            <v>33</v>
          </cell>
          <cell r="E559" t="str">
            <v xml:space="preserve">    </v>
          </cell>
          <cell r="F559" t="str">
            <v xml:space="preserve">   </v>
          </cell>
          <cell r="G559">
            <v>2099933</v>
          </cell>
          <cell r="H559">
            <v>-131103</v>
          </cell>
          <cell r="I559">
            <v>-131103</v>
          </cell>
          <cell r="J559">
            <v>0</v>
          </cell>
          <cell r="K559">
            <v>0</v>
          </cell>
          <cell r="L559">
            <v>0</v>
          </cell>
        </row>
        <row r="560">
          <cell r="A560">
            <v>1</v>
          </cell>
          <cell r="B560">
            <v>0</v>
          </cell>
          <cell r="C560">
            <v>999</v>
          </cell>
          <cell r="D560">
            <v>34</v>
          </cell>
          <cell r="E560" t="str">
            <v xml:space="preserve">    </v>
          </cell>
          <cell r="F560" t="str">
            <v xml:space="preserve">   </v>
          </cell>
          <cell r="G560">
            <v>1099934</v>
          </cell>
          <cell r="H560">
            <v>-9397</v>
          </cell>
          <cell r="I560">
            <v>0</v>
          </cell>
          <cell r="J560">
            <v>-9397</v>
          </cell>
          <cell r="K560">
            <v>0</v>
          </cell>
          <cell r="L560">
            <v>0</v>
          </cell>
        </row>
        <row r="561">
          <cell r="A561">
            <v>2</v>
          </cell>
          <cell r="B561">
            <v>0</v>
          </cell>
          <cell r="C561">
            <v>999</v>
          </cell>
          <cell r="D561">
            <v>34</v>
          </cell>
          <cell r="E561" t="str">
            <v xml:space="preserve">    </v>
          </cell>
          <cell r="F561" t="str">
            <v xml:space="preserve">   </v>
          </cell>
          <cell r="G561">
            <v>2099934</v>
          </cell>
          <cell r="H561">
            <v>-112764</v>
          </cell>
          <cell r="I561">
            <v>0</v>
          </cell>
          <cell r="J561">
            <v>-112764</v>
          </cell>
          <cell r="K561">
            <v>0</v>
          </cell>
          <cell r="L561">
            <v>0</v>
          </cell>
        </row>
        <row r="562">
          <cell r="A562">
            <v>1</v>
          </cell>
          <cell r="B562">
            <v>0</v>
          </cell>
          <cell r="C562">
            <v>999</v>
          </cell>
          <cell r="D562">
            <v>35</v>
          </cell>
          <cell r="E562" t="str">
            <v xml:space="preserve">    </v>
          </cell>
          <cell r="F562" t="str">
            <v xml:space="preserve">   </v>
          </cell>
          <cell r="G562">
            <v>1099935</v>
          </cell>
          <cell r="H562">
            <v>-3329</v>
          </cell>
          <cell r="I562">
            <v>0</v>
          </cell>
          <cell r="J562">
            <v>0</v>
          </cell>
          <cell r="K562">
            <v>-3329</v>
          </cell>
          <cell r="L562">
            <v>0</v>
          </cell>
        </row>
        <row r="563">
          <cell r="A563">
            <v>2</v>
          </cell>
          <cell r="B563">
            <v>0</v>
          </cell>
          <cell r="C563">
            <v>999</v>
          </cell>
          <cell r="D563">
            <v>35</v>
          </cell>
          <cell r="E563" t="str">
            <v xml:space="preserve">    </v>
          </cell>
          <cell r="F563" t="str">
            <v xml:space="preserve">   </v>
          </cell>
          <cell r="G563">
            <v>2099935</v>
          </cell>
          <cell r="H563">
            <v>-39948</v>
          </cell>
          <cell r="I563">
            <v>0</v>
          </cell>
          <cell r="J563">
            <v>0</v>
          </cell>
          <cell r="K563">
            <v>-39948</v>
          </cell>
          <cell r="L563">
            <v>0</v>
          </cell>
        </row>
        <row r="564">
          <cell r="A564">
            <v>1</v>
          </cell>
          <cell r="B564">
            <v>0</v>
          </cell>
          <cell r="C564">
            <v>999</v>
          </cell>
          <cell r="D564">
            <v>37</v>
          </cell>
          <cell r="E564" t="str">
            <v xml:space="preserve">    </v>
          </cell>
          <cell r="F564" t="str">
            <v xml:space="preserve">   </v>
          </cell>
          <cell r="G564">
            <v>1099937</v>
          </cell>
          <cell r="H564">
            <v>-175000</v>
          </cell>
          <cell r="I564">
            <v>-175000</v>
          </cell>
          <cell r="J564">
            <v>0</v>
          </cell>
          <cell r="K564">
            <v>0</v>
          </cell>
          <cell r="L564">
            <v>0</v>
          </cell>
        </row>
        <row r="565">
          <cell r="A565">
            <v>2</v>
          </cell>
          <cell r="B565">
            <v>0</v>
          </cell>
          <cell r="C565">
            <v>999</v>
          </cell>
          <cell r="D565">
            <v>37</v>
          </cell>
          <cell r="E565" t="str">
            <v xml:space="preserve">    </v>
          </cell>
          <cell r="F565" t="str">
            <v xml:space="preserve">   </v>
          </cell>
          <cell r="G565">
            <v>2099937</v>
          </cell>
          <cell r="H565">
            <v>-550000</v>
          </cell>
          <cell r="I565">
            <v>-550000</v>
          </cell>
          <cell r="J565">
            <v>0</v>
          </cell>
          <cell r="K565">
            <v>0</v>
          </cell>
          <cell r="L565">
            <v>0</v>
          </cell>
        </row>
        <row r="566">
          <cell r="A566">
            <v>1</v>
          </cell>
          <cell r="B566">
            <v>0</v>
          </cell>
          <cell r="C566">
            <v>999</v>
          </cell>
          <cell r="D566">
            <v>40</v>
          </cell>
          <cell r="E566" t="str">
            <v xml:space="preserve">    </v>
          </cell>
          <cell r="F566" t="str">
            <v xml:space="preserve">   </v>
          </cell>
          <cell r="G566">
            <v>1099940</v>
          </cell>
          <cell r="H566">
            <v>-45156</v>
          </cell>
          <cell r="I566">
            <v>-45156</v>
          </cell>
          <cell r="J566">
            <v>0</v>
          </cell>
          <cell r="K566">
            <v>0</v>
          </cell>
          <cell r="L566">
            <v>0</v>
          </cell>
        </row>
        <row r="567">
          <cell r="A567">
            <v>2</v>
          </cell>
          <cell r="B567">
            <v>0</v>
          </cell>
          <cell r="C567">
            <v>999</v>
          </cell>
          <cell r="D567">
            <v>40</v>
          </cell>
          <cell r="E567" t="str">
            <v xml:space="preserve">    </v>
          </cell>
          <cell r="F567" t="str">
            <v xml:space="preserve">   </v>
          </cell>
          <cell r="G567">
            <v>2099940</v>
          </cell>
          <cell r="H567">
            <v>-541872</v>
          </cell>
          <cell r="I567">
            <v>-541872</v>
          </cell>
          <cell r="J567">
            <v>0</v>
          </cell>
          <cell r="K567">
            <v>0</v>
          </cell>
          <cell r="L567">
            <v>0</v>
          </cell>
        </row>
        <row r="568">
          <cell r="A568">
            <v>1</v>
          </cell>
          <cell r="B568">
            <v>0</v>
          </cell>
          <cell r="C568">
            <v>999</v>
          </cell>
          <cell r="D568">
            <v>51</v>
          </cell>
          <cell r="E568" t="str">
            <v xml:space="preserve">    </v>
          </cell>
          <cell r="F568" t="str">
            <v xml:space="preserve">   </v>
          </cell>
          <cell r="G568">
            <v>1099951</v>
          </cell>
          <cell r="H568">
            <v>341667</v>
          </cell>
          <cell r="I568">
            <v>341667</v>
          </cell>
          <cell r="J568">
            <v>0</v>
          </cell>
          <cell r="K568">
            <v>0</v>
          </cell>
          <cell r="L568">
            <v>0</v>
          </cell>
        </row>
        <row r="569">
          <cell r="A569">
            <v>2</v>
          </cell>
          <cell r="B569">
            <v>0</v>
          </cell>
          <cell r="C569">
            <v>999</v>
          </cell>
          <cell r="D569">
            <v>51</v>
          </cell>
          <cell r="E569" t="str">
            <v xml:space="preserve">    </v>
          </cell>
          <cell r="F569" t="str">
            <v xml:space="preserve">   </v>
          </cell>
          <cell r="G569">
            <v>2099951</v>
          </cell>
          <cell r="H569">
            <v>4379234</v>
          </cell>
          <cell r="I569">
            <v>4379234</v>
          </cell>
          <cell r="J569">
            <v>0</v>
          </cell>
          <cell r="K569">
            <v>0</v>
          </cell>
          <cell r="L569">
            <v>0</v>
          </cell>
        </row>
        <row r="570">
          <cell r="A570">
            <v>1</v>
          </cell>
          <cell r="B570">
            <v>0</v>
          </cell>
          <cell r="C570">
            <v>999</v>
          </cell>
          <cell r="D570">
            <v>52</v>
          </cell>
          <cell r="E570" t="str">
            <v xml:space="preserve">    </v>
          </cell>
          <cell r="F570" t="str">
            <v xml:space="preserve">   </v>
          </cell>
          <cell r="G570">
            <v>1099952</v>
          </cell>
          <cell r="H570">
            <v>7096</v>
          </cell>
          <cell r="I570">
            <v>7096</v>
          </cell>
          <cell r="J570">
            <v>0</v>
          </cell>
          <cell r="K570">
            <v>0</v>
          </cell>
          <cell r="L570">
            <v>0</v>
          </cell>
        </row>
        <row r="571">
          <cell r="A571">
            <v>2</v>
          </cell>
          <cell r="B571">
            <v>0</v>
          </cell>
          <cell r="C571">
            <v>999</v>
          </cell>
          <cell r="D571">
            <v>52</v>
          </cell>
          <cell r="E571" t="str">
            <v xml:space="preserve">    </v>
          </cell>
          <cell r="F571" t="str">
            <v xml:space="preserve">   </v>
          </cell>
          <cell r="G571">
            <v>2099952</v>
          </cell>
          <cell r="H571">
            <v>416262</v>
          </cell>
          <cell r="I571">
            <v>416262</v>
          </cell>
          <cell r="J571">
            <v>0</v>
          </cell>
          <cell r="K571">
            <v>0</v>
          </cell>
          <cell r="L571">
            <v>0</v>
          </cell>
        </row>
        <row r="572">
          <cell r="A572">
            <v>1</v>
          </cell>
          <cell r="B572">
            <v>0</v>
          </cell>
          <cell r="C572">
            <v>999</v>
          </cell>
          <cell r="D572">
            <v>57</v>
          </cell>
          <cell r="E572" t="str">
            <v xml:space="preserve">    </v>
          </cell>
          <cell r="F572" t="str">
            <v xml:space="preserve">   </v>
          </cell>
          <cell r="G572">
            <v>1099957</v>
          </cell>
          <cell r="H572">
            <v>-2232</v>
          </cell>
          <cell r="I572">
            <v>-2232</v>
          </cell>
          <cell r="J572">
            <v>0</v>
          </cell>
          <cell r="K572">
            <v>0</v>
          </cell>
          <cell r="L572">
            <v>0</v>
          </cell>
        </row>
        <row r="573">
          <cell r="A573">
            <v>2</v>
          </cell>
          <cell r="B573">
            <v>0</v>
          </cell>
          <cell r="C573">
            <v>999</v>
          </cell>
          <cell r="D573">
            <v>57</v>
          </cell>
          <cell r="E573" t="str">
            <v xml:space="preserve">    </v>
          </cell>
          <cell r="F573" t="str">
            <v xml:space="preserve">   </v>
          </cell>
          <cell r="G573">
            <v>2099957</v>
          </cell>
          <cell r="H573">
            <v>-2086</v>
          </cell>
          <cell r="I573">
            <v>-2086</v>
          </cell>
          <cell r="J573">
            <v>0</v>
          </cell>
          <cell r="K573">
            <v>0</v>
          </cell>
          <cell r="L573">
            <v>0</v>
          </cell>
        </row>
        <row r="574">
          <cell r="A574">
            <v>1</v>
          </cell>
          <cell r="B574">
            <v>0</v>
          </cell>
          <cell r="C574">
            <v>999</v>
          </cell>
          <cell r="D574">
            <v>59</v>
          </cell>
          <cell r="E574" t="str">
            <v xml:space="preserve">    </v>
          </cell>
          <cell r="F574" t="str">
            <v xml:space="preserve">   </v>
          </cell>
          <cell r="G574">
            <v>1099959</v>
          </cell>
          <cell r="H574">
            <v>47218</v>
          </cell>
          <cell r="I574">
            <v>47218</v>
          </cell>
          <cell r="J574">
            <v>0</v>
          </cell>
          <cell r="K574">
            <v>0</v>
          </cell>
          <cell r="L574">
            <v>0</v>
          </cell>
        </row>
        <row r="575">
          <cell r="A575">
            <v>2</v>
          </cell>
          <cell r="B575">
            <v>0</v>
          </cell>
          <cell r="C575">
            <v>999</v>
          </cell>
          <cell r="D575">
            <v>59</v>
          </cell>
          <cell r="E575" t="str">
            <v xml:space="preserve">    </v>
          </cell>
          <cell r="F575" t="str">
            <v xml:space="preserve">   </v>
          </cell>
          <cell r="G575">
            <v>2099959</v>
          </cell>
          <cell r="H575">
            <v>633897</v>
          </cell>
          <cell r="I575">
            <v>633897</v>
          </cell>
          <cell r="J575">
            <v>0</v>
          </cell>
          <cell r="K575">
            <v>0</v>
          </cell>
          <cell r="L575">
            <v>0</v>
          </cell>
        </row>
        <row r="576">
          <cell r="A576">
            <v>1</v>
          </cell>
          <cell r="B576">
            <v>0</v>
          </cell>
          <cell r="C576">
            <v>999</v>
          </cell>
          <cell r="D576">
            <v>60</v>
          </cell>
          <cell r="E576" t="str">
            <v xml:space="preserve">    </v>
          </cell>
          <cell r="F576" t="str">
            <v xml:space="preserve">   </v>
          </cell>
          <cell r="G576">
            <v>1099960</v>
          </cell>
          <cell r="H576">
            <v>5304218</v>
          </cell>
          <cell r="I576">
            <v>5304218</v>
          </cell>
          <cell r="J576">
            <v>0</v>
          </cell>
          <cell r="K576">
            <v>0</v>
          </cell>
          <cell r="L576">
            <v>0</v>
          </cell>
        </row>
        <row r="577">
          <cell r="A577">
            <v>2</v>
          </cell>
          <cell r="B577">
            <v>0</v>
          </cell>
          <cell r="C577">
            <v>999</v>
          </cell>
          <cell r="D577">
            <v>60</v>
          </cell>
          <cell r="E577" t="str">
            <v xml:space="preserve">    </v>
          </cell>
          <cell r="F577" t="str">
            <v xml:space="preserve">   </v>
          </cell>
          <cell r="G577">
            <v>2099960</v>
          </cell>
          <cell r="H577">
            <v>58128535</v>
          </cell>
          <cell r="I577">
            <v>58128535</v>
          </cell>
          <cell r="J577">
            <v>0</v>
          </cell>
          <cell r="K577">
            <v>0</v>
          </cell>
          <cell r="L577">
            <v>0</v>
          </cell>
        </row>
        <row r="578">
          <cell r="A578">
            <v>1</v>
          </cell>
          <cell r="B578">
            <v>0</v>
          </cell>
          <cell r="C578">
            <v>999</v>
          </cell>
          <cell r="D578">
            <v>66</v>
          </cell>
          <cell r="E578" t="str">
            <v xml:space="preserve">    </v>
          </cell>
          <cell r="F578" t="str">
            <v xml:space="preserve">   </v>
          </cell>
          <cell r="G578">
            <v>1099966</v>
          </cell>
          <cell r="H578">
            <v>-71143</v>
          </cell>
          <cell r="I578">
            <v>0</v>
          </cell>
          <cell r="J578">
            <v>0</v>
          </cell>
          <cell r="K578">
            <v>-71143</v>
          </cell>
          <cell r="L578">
            <v>0</v>
          </cell>
        </row>
        <row r="579">
          <cell r="A579">
            <v>2</v>
          </cell>
          <cell r="B579">
            <v>0</v>
          </cell>
          <cell r="C579">
            <v>999</v>
          </cell>
          <cell r="D579">
            <v>66</v>
          </cell>
          <cell r="E579" t="str">
            <v xml:space="preserve">    </v>
          </cell>
          <cell r="F579" t="str">
            <v xml:space="preserve">   </v>
          </cell>
          <cell r="G579">
            <v>2099966</v>
          </cell>
          <cell r="H579">
            <v>-706758</v>
          </cell>
          <cell r="I579">
            <v>0</v>
          </cell>
          <cell r="J579">
            <v>0</v>
          </cell>
          <cell r="K579">
            <v>-706758</v>
          </cell>
          <cell r="L579">
            <v>0</v>
          </cell>
        </row>
        <row r="580">
          <cell r="A580">
            <v>1</v>
          </cell>
          <cell r="B580">
            <v>0</v>
          </cell>
          <cell r="C580">
            <v>999</v>
          </cell>
          <cell r="D580">
            <v>68</v>
          </cell>
          <cell r="E580" t="str">
            <v xml:space="preserve">    </v>
          </cell>
          <cell r="F580" t="str">
            <v xml:space="preserve">   </v>
          </cell>
          <cell r="G580">
            <v>1099968</v>
          </cell>
          <cell r="H580">
            <v>894898</v>
          </cell>
          <cell r="I580">
            <v>0</v>
          </cell>
          <cell r="J580">
            <v>0</v>
          </cell>
          <cell r="K580">
            <v>894898</v>
          </cell>
          <cell r="L580">
            <v>0</v>
          </cell>
        </row>
        <row r="581">
          <cell r="A581">
            <v>2</v>
          </cell>
          <cell r="B581">
            <v>0</v>
          </cell>
          <cell r="C581">
            <v>999</v>
          </cell>
          <cell r="D581">
            <v>68</v>
          </cell>
          <cell r="E581" t="str">
            <v xml:space="preserve">    </v>
          </cell>
          <cell r="F581" t="str">
            <v xml:space="preserve">   </v>
          </cell>
          <cell r="G581">
            <v>2099968</v>
          </cell>
          <cell r="H581">
            <v>6222057</v>
          </cell>
          <cell r="I581">
            <v>0</v>
          </cell>
          <cell r="J581">
            <v>0</v>
          </cell>
          <cell r="K581">
            <v>6222057</v>
          </cell>
          <cell r="L581">
            <v>0</v>
          </cell>
        </row>
        <row r="582">
          <cell r="A582">
            <v>1</v>
          </cell>
          <cell r="B582">
            <v>0</v>
          </cell>
          <cell r="C582">
            <v>999</v>
          </cell>
          <cell r="D582">
            <v>70</v>
          </cell>
          <cell r="E582" t="str">
            <v xml:space="preserve">    </v>
          </cell>
          <cell r="F582" t="str">
            <v xml:space="preserve">   </v>
          </cell>
          <cell r="G582">
            <v>1099970</v>
          </cell>
          <cell r="H582">
            <v>4381386.74</v>
          </cell>
          <cell r="I582">
            <v>4381386.74</v>
          </cell>
          <cell r="J582">
            <v>0</v>
          </cell>
          <cell r="K582">
            <v>0</v>
          </cell>
          <cell r="L582">
            <v>0</v>
          </cell>
        </row>
        <row r="583">
          <cell r="A583">
            <v>2</v>
          </cell>
          <cell r="B583">
            <v>0</v>
          </cell>
          <cell r="C583">
            <v>999</v>
          </cell>
          <cell r="D583">
            <v>70</v>
          </cell>
          <cell r="E583" t="str">
            <v xml:space="preserve">    </v>
          </cell>
          <cell r="F583" t="str">
            <v xml:space="preserve">   </v>
          </cell>
          <cell r="G583">
            <v>2099970</v>
          </cell>
          <cell r="H583">
            <v>50847989.840000004</v>
          </cell>
          <cell r="I583">
            <v>50847989.840000004</v>
          </cell>
          <cell r="J583">
            <v>0</v>
          </cell>
          <cell r="K583">
            <v>0</v>
          </cell>
          <cell r="L583">
            <v>0</v>
          </cell>
        </row>
        <row r="584">
          <cell r="A584">
            <v>1</v>
          </cell>
          <cell r="B584">
            <v>0</v>
          </cell>
          <cell r="C584">
            <v>999</v>
          </cell>
          <cell r="D584">
            <v>71</v>
          </cell>
          <cell r="E584" t="str">
            <v xml:space="preserve">    </v>
          </cell>
          <cell r="F584" t="str">
            <v xml:space="preserve">   </v>
          </cell>
          <cell r="G584">
            <v>1099971</v>
          </cell>
          <cell r="H584">
            <v>124711</v>
          </cell>
          <cell r="I584">
            <v>124711</v>
          </cell>
          <cell r="J584">
            <v>0</v>
          </cell>
          <cell r="K584">
            <v>0</v>
          </cell>
          <cell r="L584">
            <v>0</v>
          </cell>
        </row>
        <row r="585">
          <cell r="A585">
            <v>2</v>
          </cell>
          <cell r="B585">
            <v>0</v>
          </cell>
          <cell r="C585">
            <v>999</v>
          </cell>
          <cell r="D585">
            <v>71</v>
          </cell>
          <cell r="E585" t="str">
            <v xml:space="preserve">    </v>
          </cell>
          <cell r="F585" t="str">
            <v xml:space="preserve">   </v>
          </cell>
          <cell r="G585">
            <v>2099971</v>
          </cell>
          <cell r="H585">
            <v>1196005</v>
          </cell>
          <cell r="I585">
            <v>1196005</v>
          </cell>
          <cell r="J585">
            <v>0</v>
          </cell>
          <cell r="K585">
            <v>0</v>
          </cell>
          <cell r="L585">
            <v>0</v>
          </cell>
        </row>
        <row r="586">
          <cell r="A586">
            <v>1</v>
          </cell>
          <cell r="B586">
            <v>0</v>
          </cell>
          <cell r="C586">
            <v>999</v>
          </cell>
          <cell r="D586">
            <v>72</v>
          </cell>
          <cell r="E586" t="str">
            <v xml:space="preserve">    </v>
          </cell>
          <cell r="F586" t="str">
            <v xml:space="preserve">   </v>
          </cell>
          <cell r="G586">
            <v>1099972</v>
          </cell>
          <cell r="H586">
            <v>670094</v>
          </cell>
          <cell r="I586">
            <v>670094</v>
          </cell>
          <cell r="J586">
            <v>0</v>
          </cell>
          <cell r="K586">
            <v>0</v>
          </cell>
          <cell r="L586">
            <v>0</v>
          </cell>
        </row>
        <row r="587">
          <cell r="A587">
            <v>2</v>
          </cell>
          <cell r="B587">
            <v>0</v>
          </cell>
          <cell r="C587">
            <v>999</v>
          </cell>
          <cell r="D587">
            <v>72</v>
          </cell>
          <cell r="E587" t="str">
            <v xml:space="preserve">    </v>
          </cell>
          <cell r="F587" t="str">
            <v xml:space="preserve">   </v>
          </cell>
          <cell r="G587">
            <v>2099972</v>
          </cell>
          <cell r="H587">
            <v>8041129</v>
          </cell>
          <cell r="I587">
            <v>8041129</v>
          </cell>
          <cell r="J587">
            <v>0</v>
          </cell>
          <cell r="K587">
            <v>0</v>
          </cell>
          <cell r="L587">
            <v>0</v>
          </cell>
        </row>
        <row r="588">
          <cell r="A588">
            <v>1</v>
          </cell>
          <cell r="B588">
            <v>0</v>
          </cell>
          <cell r="C588">
            <v>999</v>
          </cell>
          <cell r="D588">
            <v>73</v>
          </cell>
          <cell r="E588" t="str">
            <v xml:space="preserve">    </v>
          </cell>
          <cell r="F588" t="str">
            <v xml:space="preserve">   </v>
          </cell>
          <cell r="G588">
            <v>1099973</v>
          </cell>
          <cell r="H588">
            <v>23425</v>
          </cell>
          <cell r="I588">
            <v>23425</v>
          </cell>
          <cell r="J588">
            <v>0</v>
          </cell>
          <cell r="K588">
            <v>0</v>
          </cell>
          <cell r="L588">
            <v>0</v>
          </cell>
        </row>
        <row r="589">
          <cell r="A589">
            <v>2</v>
          </cell>
          <cell r="B589">
            <v>0</v>
          </cell>
          <cell r="C589">
            <v>999</v>
          </cell>
          <cell r="D589">
            <v>73</v>
          </cell>
          <cell r="E589" t="str">
            <v xml:space="preserve">    </v>
          </cell>
          <cell r="F589" t="str">
            <v xml:space="preserve">   </v>
          </cell>
          <cell r="G589">
            <v>2099973</v>
          </cell>
          <cell r="H589">
            <v>281100</v>
          </cell>
          <cell r="I589">
            <v>281100</v>
          </cell>
          <cell r="J589">
            <v>0</v>
          </cell>
          <cell r="K589">
            <v>0</v>
          </cell>
          <cell r="L589">
            <v>0</v>
          </cell>
        </row>
        <row r="590">
          <cell r="A590">
            <v>1</v>
          </cell>
          <cell r="B590">
            <v>0</v>
          </cell>
          <cell r="C590">
            <v>999</v>
          </cell>
          <cell r="D590">
            <v>75</v>
          </cell>
          <cell r="E590" t="str">
            <v xml:space="preserve">    </v>
          </cell>
          <cell r="F590" t="str">
            <v xml:space="preserve">   </v>
          </cell>
          <cell r="G590">
            <v>1099975</v>
          </cell>
          <cell r="H590">
            <v>16341</v>
          </cell>
          <cell r="I590">
            <v>16341</v>
          </cell>
          <cell r="J590">
            <v>0</v>
          </cell>
          <cell r="K590">
            <v>0</v>
          </cell>
          <cell r="L590">
            <v>0</v>
          </cell>
        </row>
        <row r="591">
          <cell r="A591">
            <v>2</v>
          </cell>
          <cell r="B591">
            <v>0</v>
          </cell>
          <cell r="C591">
            <v>999</v>
          </cell>
          <cell r="D591">
            <v>75</v>
          </cell>
          <cell r="E591" t="str">
            <v xml:space="preserve">    </v>
          </cell>
          <cell r="F591" t="str">
            <v xml:space="preserve">   </v>
          </cell>
          <cell r="G591">
            <v>2099975</v>
          </cell>
          <cell r="H591">
            <v>196092</v>
          </cell>
          <cell r="I591">
            <v>196092</v>
          </cell>
          <cell r="J591">
            <v>0</v>
          </cell>
          <cell r="K591">
            <v>0</v>
          </cell>
          <cell r="L591">
            <v>0</v>
          </cell>
        </row>
        <row r="592">
          <cell r="A592">
            <v>1</v>
          </cell>
          <cell r="B592">
            <v>0</v>
          </cell>
          <cell r="C592">
            <v>999</v>
          </cell>
          <cell r="D592">
            <v>91</v>
          </cell>
          <cell r="E592" t="str">
            <v xml:space="preserve">    </v>
          </cell>
          <cell r="F592" t="str">
            <v xml:space="preserve">   </v>
          </cell>
          <cell r="G592">
            <v>1099991</v>
          </cell>
          <cell r="H592">
            <v>-647121</v>
          </cell>
          <cell r="I592">
            <v>-647121</v>
          </cell>
          <cell r="J592">
            <v>0</v>
          </cell>
          <cell r="K592">
            <v>0</v>
          </cell>
          <cell r="L592">
            <v>0</v>
          </cell>
        </row>
        <row r="593">
          <cell r="A593">
            <v>2</v>
          </cell>
          <cell r="B593">
            <v>0</v>
          </cell>
          <cell r="C593">
            <v>999</v>
          </cell>
          <cell r="D593">
            <v>91</v>
          </cell>
          <cell r="E593" t="str">
            <v xml:space="preserve">    </v>
          </cell>
          <cell r="F593" t="str">
            <v xml:space="preserve">   </v>
          </cell>
          <cell r="G593">
            <v>2099991</v>
          </cell>
          <cell r="H593">
            <v>-12129928</v>
          </cell>
          <cell r="I593">
            <v>-12129928</v>
          </cell>
          <cell r="J593">
            <v>0</v>
          </cell>
          <cell r="K593">
            <v>0</v>
          </cell>
          <cell r="L593">
            <v>0</v>
          </cell>
        </row>
        <row r="594">
          <cell r="A594">
            <v>1</v>
          </cell>
          <cell r="B594">
            <v>0</v>
          </cell>
          <cell r="C594">
            <v>999</v>
          </cell>
          <cell r="D594">
            <v>95</v>
          </cell>
          <cell r="E594" t="str">
            <v xml:space="preserve">    </v>
          </cell>
          <cell r="F594" t="str">
            <v xml:space="preserve">   </v>
          </cell>
          <cell r="G594">
            <v>1099995</v>
          </cell>
          <cell r="H594">
            <v>1368611</v>
          </cell>
          <cell r="I594">
            <v>1368611</v>
          </cell>
          <cell r="J594">
            <v>0</v>
          </cell>
          <cell r="K594">
            <v>0</v>
          </cell>
          <cell r="L594">
            <v>0</v>
          </cell>
        </row>
        <row r="595">
          <cell r="A595">
            <v>2</v>
          </cell>
          <cell r="B595">
            <v>0</v>
          </cell>
          <cell r="C595">
            <v>999</v>
          </cell>
          <cell r="D595">
            <v>95</v>
          </cell>
          <cell r="E595" t="str">
            <v xml:space="preserve">    </v>
          </cell>
          <cell r="F595" t="str">
            <v xml:space="preserve">   </v>
          </cell>
          <cell r="G595">
            <v>2099995</v>
          </cell>
          <cell r="H595">
            <v>3851796</v>
          </cell>
          <cell r="I595">
            <v>3851796</v>
          </cell>
          <cell r="J595">
            <v>0</v>
          </cell>
          <cell r="K595">
            <v>0</v>
          </cell>
          <cell r="L595">
            <v>0</v>
          </cell>
        </row>
        <row r="596">
          <cell r="A596">
            <v>1</v>
          </cell>
          <cell r="B596">
            <v>1</v>
          </cell>
          <cell r="C596">
            <v>403</v>
          </cell>
          <cell r="D596">
            <v>10</v>
          </cell>
          <cell r="E596" t="str">
            <v xml:space="preserve">    </v>
          </cell>
          <cell r="F596" t="str">
            <v xml:space="preserve">   </v>
          </cell>
          <cell r="G596">
            <v>1140310</v>
          </cell>
          <cell r="H596">
            <v>34780</v>
          </cell>
          <cell r="I596">
            <v>34780</v>
          </cell>
          <cell r="J596">
            <v>0</v>
          </cell>
          <cell r="K596">
            <v>0</v>
          </cell>
          <cell r="L596">
            <v>0</v>
          </cell>
        </row>
        <row r="597">
          <cell r="A597">
            <v>2</v>
          </cell>
          <cell r="B597">
            <v>1</v>
          </cell>
          <cell r="C597">
            <v>403</v>
          </cell>
          <cell r="D597">
            <v>10</v>
          </cell>
          <cell r="E597" t="str">
            <v xml:space="preserve">    </v>
          </cell>
          <cell r="F597" t="str">
            <v xml:space="preserve">   </v>
          </cell>
          <cell r="G597">
            <v>2140310</v>
          </cell>
          <cell r="H597">
            <v>436613</v>
          </cell>
          <cell r="I597">
            <v>436613</v>
          </cell>
          <cell r="J597">
            <v>0</v>
          </cell>
          <cell r="K597">
            <v>0</v>
          </cell>
          <cell r="L597">
            <v>0</v>
          </cell>
        </row>
        <row r="598">
          <cell r="A598">
            <v>1</v>
          </cell>
          <cell r="B598">
            <v>1</v>
          </cell>
          <cell r="C598">
            <v>403</v>
          </cell>
          <cell r="D598">
            <v>50</v>
          </cell>
          <cell r="E598" t="str">
            <v xml:space="preserve">    </v>
          </cell>
          <cell r="F598" t="str">
            <v xml:space="preserve">   </v>
          </cell>
          <cell r="G598">
            <v>1140350</v>
          </cell>
          <cell r="H598">
            <v>461508</v>
          </cell>
          <cell r="I598">
            <v>461508</v>
          </cell>
          <cell r="J598">
            <v>0</v>
          </cell>
          <cell r="K598">
            <v>0</v>
          </cell>
          <cell r="L598">
            <v>0</v>
          </cell>
        </row>
        <row r="599">
          <cell r="A599">
            <v>2</v>
          </cell>
          <cell r="B599">
            <v>1</v>
          </cell>
          <cell r="C599">
            <v>403</v>
          </cell>
          <cell r="D599">
            <v>50</v>
          </cell>
          <cell r="E599" t="str">
            <v xml:space="preserve">    </v>
          </cell>
          <cell r="F599" t="str">
            <v xml:space="preserve">   </v>
          </cell>
          <cell r="G599">
            <v>2140350</v>
          </cell>
          <cell r="H599">
            <v>5539675</v>
          </cell>
          <cell r="I599">
            <v>5539675</v>
          </cell>
          <cell r="J599">
            <v>0</v>
          </cell>
          <cell r="K599">
            <v>0</v>
          </cell>
          <cell r="L599">
            <v>0</v>
          </cell>
        </row>
        <row r="600">
          <cell r="A600">
            <v>1</v>
          </cell>
          <cell r="B600">
            <v>1</v>
          </cell>
          <cell r="C600">
            <v>403</v>
          </cell>
          <cell r="D600">
            <v>60</v>
          </cell>
          <cell r="E600" t="str">
            <v xml:space="preserve">    </v>
          </cell>
          <cell r="F600" t="str">
            <v xml:space="preserve">   </v>
          </cell>
          <cell r="G600">
            <v>1140360</v>
          </cell>
          <cell r="H600">
            <v>43181.96</v>
          </cell>
          <cell r="I600">
            <v>43181.96</v>
          </cell>
          <cell r="J600">
            <v>0</v>
          </cell>
          <cell r="K600">
            <v>0</v>
          </cell>
          <cell r="L600">
            <v>0</v>
          </cell>
        </row>
        <row r="601">
          <cell r="A601">
            <v>2</v>
          </cell>
          <cell r="B601">
            <v>1</v>
          </cell>
          <cell r="C601">
            <v>403</v>
          </cell>
          <cell r="D601">
            <v>60</v>
          </cell>
          <cell r="E601" t="str">
            <v xml:space="preserve">    </v>
          </cell>
          <cell r="F601" t="str">
            <v xml:space="preserve">   </v>
          </cell>
          <cell r="G601">
            <v>2140360</v>
          </cell>
          <cell r="H601">
            <v>552477.56999999995</v>
          </cell>
          <cell r="I601">
            <v>552477.56999999995</v>
          </cell>
          <cell r="J601">
            <v>0</v>
          </cell>
          <cell r="K601">
            <v>0</v>
          </cell>
          <cell r="L601">
            <v>0</v>
          </cell>
        </row>
        <row r="602">
          <cell r="A602">
            <v>1</v>
          </cell>
          <cell r="B602">
            <v>1</v>
          </cell>
          <cell r="C602">
            <v>403</v>
          </cell>
          <cell r="D602">
            <v>70</v>
          </cell>
          <cell r="E602" t="str">
            <v xml:space="preserve">    </v>
          </cell>
          <cell r="F602" t="str">
            <v xml:space="preserve">   </v>
          </cell>
          <cell r="G602">
            <v>1140370</v>
          </cell>
          <cell r="H602">
            <v>4970.8599999999997</v>
          </cell>
          <cell r="I602">
            <v>4970.8599999999997</v>
          </cell>
          <cell r="J602">
            <v>0</v>
          </cell>
          <cell r="K602">
            <v>0</v>
          </cell>
          <cell r="L602">
            <v>0</v>
          </cell>
        </row>
        <row r="603">
          <cell r="A603">
            <v>2</v>
          </cell>
          <cell r="B603">
            <v>1</v>
          </cell>
          <cell r="C603">
            <v>403</v>
          </cell>
          <cell r="D603">
            <v>70</v>
          </cell>
          <cell r="E603" t="str">
            <v xml:space="preserve">    </v>
          </cell>
          <cell r="F603" t="str">
            <v xml:space="preserve">   </v>
          </cell>
          <cell r="G603">
            <v>2140370</v>
          </cell>
          <cell r="H603">
            <v>59455.95</v>
          </cell>
          <cell r="I603">
            <v>59455.95</v>
          </cell>
          <cell r="J603">
            <v>0</v>
          </cell>
          <cell r="K603">
            <v>0</v>
          </cell>
          <cell r="L603">
            <v>0</v>
          </cell>
        </row>
        <row r="604">
          <cell r="A604">
            <v>1</v>
          </cell>
          <cell r="B604">
            <v>1</v>
          </cell>
          <cell r="C604">
            <v>404</v>
          </cell>
          <cell r="D604">
            <v>30</v>
          </cell>
          <cell r="E604" t="str">
            <v xml:space="preserve">    </v>
          </cell>
          <cell r="F604" t="str">
            <v xml:space="preserve">   </v>
          </cell>
          <cell r="G604">
            <v>1140430</v>
          </cell>
          <cell r="H604">
            <v>70267.41</v>
          </cell>
          <cell r="I604">
            <v>70267.41</v>
          </cell>
          <cell r="J604">
            <v>0</v>
          </cell>
          <cell r="K604">
            <v>0</v>
          </cell>
          <cell r="L604">
            <v>0</v>
          </cell>
        </row>
        <row r="605">
          <cell r="A605">
            <v>2</v>
          </cell>
          <cell r="B605">
            <v>1</v>
          </cell>
          <cell r="C605">
            <v>404</v>
          </cell>
          <cell r="D605">
            <v>30</v>
          </cell>
          <cell r="E605" t="str">
            <v xml:space="preserve">    </v>
          </cell>
          <cell r="F605" t="str">
            <v xml:space="preserve">   </v>
          </cell>
          <cell r="G605">
            <v>2140430</v>
          </cell>
          <cell r="H605">
            <v>492269.34</v>
          </cell>
          <cell r="I605">
            <v>492269.34</v>
          </cell>
          <cell r="J605">
            <v>0</v>
          </cell>
          <cell r="K605">
            <v>0</v>
          </cell>
          <cell r="L605">
            <v>0</v>
          </cell>
        </row>
        <row r="606">
          <cell r="A606">
            <v>1</v>
          </cell>
          <cell r="B606">
            <v>1</v>
          </cell>
          <cell r="C606">
            <v>404</v>
          </cell>
          <cell r="D606">
            <v>60</v>
          </cell>
          <cell r="E606" t="str">
            <v xml:space="preserve">    </v>
          </cell>
          <cell r="F606" t="str">
            <v xml:space="preserve">   </v>
          </cell>
          <cell r="G606">
            <v>1140460</v>
          </cell>
          <cell r="H606">
            <v>12969.7</v>
          </cell>
          <cell r="I606">
            <v>12969.7</v>
          </cell>
          <cell r="J606">
            <v>0</v>
          </cell>
          <cell r="K606">
            <v>0</v>
          </cell>
          <cell r="L606">
            <v>0</v>
          </cell>
        </row>
        <row r="607">
          <cell r="A607">
            <v>2</v>
          </cell>
          <cell r="B607">
            <v>1</v>
          </cell>
          <cell r="C607">
            <v>404</v>
          </cell>
          <cell r="D607">
            <v>60</v>
          </cell>
          <cell r="E607" t="str">
            <v xml:space="preserve">    </v>
          </cell>
          <cell r="F607" t="str">
            <v xml:space="preserve">   </v>
          </cell>
          <cell r="G607">
            <v>2140460</v>
          </cell>
          <cell r="H607">
            <v>107234.28</v>
          </cell>
          <cell r="I607">
            <v>107234.28</v>
          </cell>
          <cell r="J607">
            <v>0</v>
          </cell>
          <cell r="K607">
            <v>0</v>
          </cell>
          <cell r="L607">
            <v>0</v>
          </cell>
        </row>
        <row r="608">
          <cell r="A608">
            <v>1</v>
          </cell>
          <cell r="B608">
            <v>1</v>
          </cell>
          <cell r="C608">
            <v>408</v>
          </cell>
          <cell r="D608">
            <v>11</v>
          </cell>
          <cell r="E608" t="str">
            <v xml:space="preserve">    </v>
          </cell>
          <cell r="F608" t="str">
            <v xml:space="preserve">   </v>
          </cell>
          <cell r="G608">
            <v>1140811</v>
          </cell>
          <cell r="H608">
            <v>-330847.90999999997</v>
          </cell>
          <cell r="I608">
            <v>0</v>
          </cell>
          <cell r="J608">
            <v>-330937.90000000002</v>
          </cell>
          <cell r="K608">
            <v>89.99</v>
          </cell>
          <cell r="L608">
            <v>0</v>
          </cell>
        </row>
        <row r="609">
          <cell r="A609">
            <v>2</v>
          </cell>
          <cell r="B609">
            <v>1</v>
          </cell>
          <cell r="C609">
            <v>408</v>
          </cell>
          <cell r="D609">
            <v>11</v>
          </cell>
          <cell r="E609" t="str">
            <v xml:space="preserve">    </v>
          </cell>
          <cell r="F609" t="str">
            <v xml:space="preserve">   </v>
          </cell>
          <cell r="G609">
            <v>2140811</v>
          </cell>
          <cell r="H609">
            <v>1971928.35</v>
          </cell>
          <cell r="I609">
            <v>0</v>
          </cell>
          <cell r="J609">
            <v>1971292.42</v>
          </cell>
          <cell r="K609">
            <v>635.92999999999995</v>
          </cell>
          <cell r="L609">
            <v>0</v>
          </cell>
        </row>
        <row r="610">
          <cell r="A610">
            <v>1</v>
          </cell>
          <cell r="B610">
            <v>1</v>
          </cell>
          <cell r="C610">
            <v>408</v>
          </cell>
          <cell r="D610">
            <v>12</v>
          </cell>
          <cell r="E610" t="str">
            <v xml:space="preserve">    </v>
          </cell>
          <cell r="F610" t="str">
            <v xml:space="preserve">   </v>
          </cell>
          <cell r="G610">
            <v>1140812</v>
          </cell>
          <cell r="H610">
            <v>184044</v>
          </cell>
          <cell r="I610">
            <v>0</v>
          </cell>
          <cell r="J610">
            <v>184044</v>
          </cell>
          <cell r="K610">
            <v>0</v>
          </cell>
          <cell r="L610">
            <v>0</v>
          </cell>
        </row>
        <row r="611">
          <cell r="A611">
            <v>2</v>
          </cell>
          <cell r="B611">
            <v>1</v>
          </cell>
          <cell r="C611">
            <v>408</v>
          </cell>
          <cell r="D611">
            <v>12</v>
          </cell>
          <cell r="E611" t="str">
            <v xml:space="preserve">    </v>
          </cell>
          <cell r="F611" t="str">
            <v xml:space="preserve">   </v>
          </cell>
          <cell r="G611">
            <v>2140812</v>
          </cell>
          <cell r="H611">
            <v>1850491.79</v>
          </cell>
          <cell r="I611">
            <v>0</v>
          </cell>
          <cell r="J611">
            <v>1850491.79</v>
          </cell>
          <cell r="K611">
            <v>0</v>
          </cell>
          <cell r="L611">
            <v>0</v>
          </cell>
        </row>
        <row r="612">
          <cell r="A612">
            <v>1</v>
          </cell>
          <cell r="B612">
            <v>1</v>
          </cell>
          <cell r="C612">
            <v>408</v>
          </cell>
          <cell r="D612">
            <v>15</v>
          </cell>
          <cell r="E612" t="str">
            <v xml:space="preserve">    </v>
          </cell>
          <cell r="F612" t="str">
            <v xml:space="preserve">   </v>
          </cell>
          <cell r="G612">
            <v>1140815</v>
          </cell>
          <cell r="H612">
            <v>-68556</v>
          </cell>
          <cell r="I612">
            <v>0</v>
          </cell>
          <cell r="J612">
            <v>-94346</v>
          </cell>
          <cell r="K612">
            <v>25790</v>
          </cell>
          <cell r="L612">
            <v>0</v>
          </cell>
        </row>
        <row r="613">
          <cell r="A613">
            <v>2</v>
          </cell>
          <cell r="B613">
            <v>1</v>
          </cell>
          <cell r="C613">
            <v>408</v>
          </cell>
          <cell r="D613">
            <v>15</v>
          </cell>
          <cell r="E613" t="str">
            <v xml:space="preserve">    </v>
          </cell>
          <cell r="F613" t="str">
            <v xml:space="preserve">   </v>
          </cell>
          <cell r="G613">
            <v>2140815</v>
          </cell>
          <cell r="H613">
            <v>1893162.11</v>
          </cell>
          <cell r="I613">
            <v>0</v>
          </cell>
          <cell r="J613">
            <v>1280162.1100000001</v>
          </cell>
          <cell r="K613">
            <v>613000</v>
          </cell>
          <cell r="L613">
            <v>0</v>
          </cell>
        </row>
        <row r="614">
          <cell r="A614">
            <v>1</v>
          </cell>
          <cell r="B614">
            <v>1</v>
          </cell>
          <cell r="C614">
            <v>408</v>
          </cell>
          <cell r="D614">
            <v>16</v>
          </cell>
          <cell r="E614" t="str">
            <v xml:space="preserve">    </v>
          </cell>
          <cell r="F614" t="str">
            <v xml:space="preserve">   </v>
          </cell>
          <cell r="G614">
            <v>1140816</v>
          </cell>
          <cell r="H614">
            <v>0</v>
          </cell>
          <cell r="I614">
            <v>0</v>
          </cell>
          <cell r="J614">
            <v>0</v>
          </cell>
          <cell r="K614">
            <v>0</v>
          </cell>
          <cell r="L614">
            <v>0</v>
          </cell>
        </row>
        <row r="615">
          <cell r="A615">
            <v>2</v>
          </cell>
          <cell r="B615">
            <v>1</v>
          </cell>
          <cell r="C615">
            <v>408</v>
          </cell>
          <cell r="D615">
            <v>16</v>
          </cell>
          <cell r="E615" t="str">
            <v xml:space="preserve">    </v>
          </cell>
          <cell r="F615" t="str">
            <v xml:space="preserve">   </v>
          </cell>
          <cell r="G615">
            <v>2140816</v>
          </cell>
          <cell r="H615">
            <v>3314.6</v>
          </cell>
          <cell r="I615">
            <v>0</v>
          </cell>
          <cell r="J615">
            <v>3314.6</v>
          </cell>
          <cell r="K615">
            <v>0</v>
          </cell>
          <cell r="L615">
            <v>0</v>
          </cell>
        </row>
        <row r="616">
          <cell r="A616">
            <v>1</v>
          </cell>
          <cell r="B616">
            <v>1</v>
          </cell>
          <cell r="C616">
            <v>409</v>
          </cell>
          <cell r="D616">
            <v>11</v>
          </cell>
          <cell r="E616" t="str">
            <v xml:space="preserve">    </v>
          </cell>
          <cell r="F616" t="str">
            <v xml:space="preserve">   </v>
          </cell>
          <cell r="G616">
            <v>1140911</v>
          </cell>
          <cell r="H616">
            <v>1524135</v>
          </cell>
          <cell r="I616">
            <v>1524135</v>
          </cell>
          <cell r="J616">
            <v>0</v>
          </cell>
          <cell r="K616">
            <v>0</v>
          </cell>
          <cell r="L616">
            <v>0</v>
          </cell>
        </row>
        <row r="617">
          <cell r="A617">
            <v>2</v>
          </cell>
          <cell r="B617">
            <v>1</v>
          </cell>
          <cell r="C617">
            <v>409</v>
          </cell>
          <cell r="D617">
            <v>11</v>
          </cell>
          <cell r="E617" t="str">
            <v xml:space="preserve">    </v>
          </cell>
          <cell r="F617" t="str">
            <v xml:space="preserve">   </v>
          </cell>
          <cell r="G617">
            <v>2140911</v>
          </cell>
          <cell r="H617">
            <v>-451533</v>
          </cell>
          <cell r="I617">
            <v>-451533</v>
          </cell>
          <cell r="J617">
            <v>0</v>
          </cell>
          <cell r="K617">
            <v>0</v>
          </cell>
          <cell r="L617">
            <v>0</v>
          </cell>
        </row>
        <row r="618">
          <cell r="A618">
            <v>1</v>
          </cell>
          <cell r="B618">
            <v>1</v>
          </cell>
          <cell r="C618">
            <v>409</v>
          </cell>
          <cell r="D618">
            <v>13</v>
          </cell>
          <cell r="E618" t="str">
            <v xml:space="preserve">    </v>
          </cell>
          <cell r="F618" t="str">
            <v xml:space="preserve">   </v>
          </cell>
          <cell r="G618">
            <v>1140913</v>
          </cell>
          <cell r="H618">
            <v>9900</v>
          </cell>
          <cell r="I618">
            <v>0</v>
          </cell>
          <cell r="J618">
            <v>0</v>
          </cell>
          <cell r="K618">
            <v>9900</v>
          </cell>
          <cell r="L618">
            <v>0</v>
          </cell>
        </row>
        <row r="619">
          <cell r="A619">
            <v>2</v>
          </cell>
          <cell r="B619">
            <v>1</v>
          </cell>
          <cell r="C619">
            <v>409</v>
          </cell>
          <cell r="D619">
            <v>13</v>
          </cell>
          <cell r="E619" t="str">
            <v xml:space="preserve">    </v>
          </cell>
          <cell r="F619" t="str">
            <v xml:space="preserve">   </v>
          </cell>
          <cell r="G619">
            <v>2140913</v>
          </cell>
          <cell r="H619">
            <v>155607</v>
          </cell>
          <cell r="I619">
            <v>0</v>
          </cell>
          <cell r="J619">
            <v>0</v>
          </cell>
          <cell r="K619">
            <v>155607</v>
          </cell>
          <cell r="L619">
            <v>0</v>
          </cell>
        </row>
        <row r="620">
          <cell r="A620">
            <v>1</v>
          </cell>
          <cell r="B620">
            <v>1</v>
          </cell>
          <cell r="C620">
            <v>410</v>
          </cell>
          <cell r="D620">
            <v>10</v>
          </cell>
          <cell r="E620" t="str">
            <v xml:space="preserve">    </v>
          </cell>
          <cell r="F620" t="str">
            <v xml:space="preserve">   </v>
          </cell>
          <cell r="G620">
            <v>1141010</v>
          </cell>
          <cell r="H620">
            <v>-157309.6</v>
          </cell>
          <cell r="I620">
            <v>185991.4</v>
          </cell>
          <cell r="J620">
            <v>-196079</v>
          </cell>
          <cell r="K620">
            <v>-147222</v>
          </cell>
          <cell r="L620">
            <v>0</v>
          </cell>
        </row>
        <row r="621">
          <cell r="A621">
            <v>2</v>
          </cell>
          <cell r="B621">
            <v>1</v>
          </cell>
          <cell r="C621">
            <v>410</v>
          </cell>
          <cell r="D621">
            <v>10</v>
          </cell>
          <cell r="E621" t="str">
            <v xml:space="preserve">    </v>
          </cell>
          <cell r="F621" t="str">
            <v xml:space="preserve">   </v>
          </cell>
          <cell r="G621">
            <v>2141010</v>
          </cell>
          <cell r="H621">
            <v>5884603.04</v>
          </cell>
          <cell r="I621">
            <v>2463412.5</v>
          </cell>
          <cell r="J621">
            <v>2879573.79</v>
          </cell>
          <cell r="K621">
            <v>541616.75</v>
          </cell>
          <cell r="L621">
            <v>0</v>
          </cell>
        </row>
        <row r="622">
          <cell r="A622">
            <v>1</v>
          </cell>
          <cell r="B622">
            <v>1</v>
          </cell>
          <cell r="C622">
            <v>410</v>
          </cell>
          <cell r="D622">
            <v>14</v>
          </cell>
          <cell r="E622" t="str">
            <v xml:space="preserve">    </v>
          </cell>
          <cell r="F622" t="str">
            <v xml:space="preserve">   </v>
          </cell>
          <cell r="G622">
            <v>1141014</v>
          </cell>
          <cell r="H622">
            <v>20487.5</v>
          </cell>
          <cell r="I622">
            <v>0</v>
          </cell>
          <cell r="J622">
            <v>0</v>
          </cell>
          <cell r="K622">
            <v>20487.5</v>
          </cell>
          <cell r="L622">
            <v>0</v>
          </cell>
        </row>
        <row r="623">
          <cell r="A623">
            <v>2</v>
          </cell>
          <cell r="B623">
            <v>1</v>
          </cell>
          <cell r="C623">
            <v>410</v>
          </cell>
          <cell r="D623">
            <v>14</v>
          </cell>
          <cell r="E623" t="str">
            <v xml:space="preserve">    </v>
          </cell>
          <cell r="F623" t="str">
            <v xml:space="preserve">   </v>
          </cell>
          <cell r="G623">
            <v>2141014</v>
          </cell>
          <cell r="H623">
            <v>146369</v>
          </cell>
          <cell r="I623">
            <v>0</v>
          </cell>
          <cell r="J623">
            <v>0</v>
          </cell>
          <cell r="K623">
            <v>146369</v>
          </cell>
          <cell r="L623">
            <v>0</v>
          </cell>
        </row>
        <row r="624">
          <cell r="A624">
            <v>1</v>
          </cell>
          <cell r="B624">
            <v>1</v>
          </cell>
          <cell r="C624">
            <v>411</v>
          </cell>
          <cell r="D624">
            <v>10</v>
          </cell>
          <cell r="E624" t="str">
            <v xml:space="preserve">    </v>
          </cell>
          <cell r="F624" t="str">
            <v xml:space="preserve">   </v>
          </cell>
          <cell r="G624">
            <v>1141110</v>
          </cell>
          <cell r="H624">
            <v>-74176.070000000007</v>
          </cell>
          <cell r="I624">
            <v>-74176.070000000007</v>
          </cell>
          <cell r="J624">
            <v>0</v>
          </cell>
          <cell r="K624">
            <v>0</v>
          </cell>
          <cell r="L624">
            <v>0</v>
          </cell>
        </row>
        <row r="625">
          <cell r="A625">
            <v>2</v>
          </cell>
          <cell r="B625">
            <v>1</v>
          </cell>
          <cell r="C625">
            <v>411</v>
          </cell>
          <cell r="D625">
            <v>10</v>
          </cell>
          <cell r="E625" t="str">
            <v xml:space="preserve">    </v>
          </cell>
          <cell r="F625" t="str">
            <v xml:space="preserve">   </v>
          </cell>
          <cell r="G625">
            <v>2141110</v>
          </cell>
          <cell r="H625">
            <v>-2791774.89</v>
          </cell>
          <cell r="I625">
            <v>-381043.89</v>
          </cell>
          <cell r="J625">
            <v>-2063209</v>
          </cell>
          <cell r="K625">
            <v>-347522</v>
          </cell>
          <cell r="L625">
            <v>0</v>
          </cell>
        </row>
        <row r="626">
          <cell r="A626">
            <v>1</v>
          </cell>
          <cell r="B626">
            <v>1</v>
          </cell>
          <cell r="C626">
            <v>488</v>
          </cell>
          <cell r="D626">
            <v>19</v>
          </cell>
          <cell r="E626" t="str">
            <v xml:space="preserve">    </v>
          </cell>
          <cell r="F626" t="str">
            <v xml:space="preserve">   </v>
          </cell>
          <cell r="G626">
            <v>1148819</v>
          </cell>
          <cell r="H626">
            <v>0</v>
          </cell>
          <cell r="I626">
            <v>0</v>
          </cell>
          <cell r="J626">
            <v>0</v>
          </cell>
          <cell r="K626">
            <v>0</v>
          </cell>
          <cell r="L626">
            <v>0</v>
          </cell>
        </row>
        <row r="627">
          <cell r="A627">
            <v>2</v>
          </cell>
          <cell r="B627">
            <v>1</v>
          </cell>
          <cell r="C627">
            <v>488</v>
          </cell>
          <cell r="D627">
            <v>19</v>
          </cell>
          <cell r="E627" t="str">
            <v xml:space="preserve">    </v>
          </cell>
          <cell r="F627" t="str">
            <v xml:space="preserve">   </v>
          </cell>
          <cell r="G627">
            <v>2148819</v>
          </cell>
          <cell r="H627">
            <v>-175.69</v>
          </cell>
          <cell r="I627">
            <v>0</v>
          </cell>
          <cell r="J627">
            <v>-111.89</v>
          </cell>
          <cell r="K627">
            <v>-63.8</v>
          </cell>
          <cell r="L627">
            <v>0</v>
          </cell>
        </row>
        <row r="628">
          <cell r="A628">
            <v>1</v>
          </cell>
          <cell r="B628">
            <v>1</v>
          </cell>
          <cell r="C628">
            <v>488</v>
          </cell>
          <cell r="D628">
            <v>88</v>
          </cell>
          <cell r="E628" t="str">
            <v xml:space="preserve">    </v>
          </cell>
          <cell r="F628" t="str">
            <v xml:space="preserve">   </v>
          </cell>
          <cell r="G628">
            <v>1148888</v>
          </cell>
          <cell r="H628">
            <v>-438.5</v>
          </cell>
          <cell r="I628">
            <v>0</v>
          </cell>
          <cell r="J628">
            <v>-256.5</v>
          </cell>
          <cell r="K628">
            <v>-182</v>
          </cell>
          <cell r="L628">
            <v>0</v>
          </cell>
        </row>
        <row r="629">
          <cell r="A629">
            <v>2</v>
          </cell>
          <cell r="B629">
            <v>1</v>
          </cell>
          <cell r="C629">
            <v>488</v>
          </cell>
          <cell r="D629">
            <v>88</v>
          </cell>
          <cell r="E629" t="str">
            <v xml:space="preserve">    </v>
          </cell>
          <cell r="F629" t="str">
            <v xml:space="preserve">   </v>
          </cell>
          <cell r="G629">
            <v>2148888</v>
          </cell>
          <cell r="H629">
            <v>-4872.5</v>
          </cell>
          <cell r="I629">
            <v>0</v>
          </cell>
          <cell r="J629">
            <v>-2873.5</v>
          </cell>
          <cell r="K629">
            <v>-1999</v>
          </cell>
          <cell r="L629">
            <v>0</v>
          </cell>
        </row>
        <row r="630">
          <cell r="A630">
            <v>1</v>
          </cell>
          <cell r="B630">
            <v>1</v>
          </cell>
          <cell r="C630">
            <v>489</v>
          </cell>
          <cell r="D630">
            <v>91</v>
          </cell>
          <cell r="E630" t="str">
            <v xml:space="preserve">    </v>
          </cell>
          <cell r="F630" t="str">
            <v xml:space="preserve">   </v>
          </cell>
          <cell r="G630">
            <v>1148991</v>
          </cell>
          <cell r="H630">
            <v>-179449.89</v>
          </cell>
          <cell r="I630">
            <v>0</v>
          </cell>
          <cell r="J630">
            <v>-116770.24000000001</v>
          </cell>
          <cell r="K630">
            <v>-62679.65</v>
          </cell>
          <cell r="L630">
            <v>0</v>
          </cell>
        </row>
        <row r="631">
          <cell r="A631">
            <v>2</v>
          </cell>
          <cell r="B631">
            <v>1</v>
          </cell>
          <cell r="C631">
            <v>489</v>
          </cell>
          <cell r="D631">
            <v>91</v>
          </cell>
          <cell r="E631" t="str">
            <v xml:space="preserve">    </v>
          </cell>
          <cell r="F631" t="str">
            <v xml:space="preserve">   </v>
          </cell>
          <cell r="G631">
            <v>2148991</v>
          </cell>
          <cell r="H631">
            <v>-2195486.92</v>
          </cell>
          <cell r="I631">
            <v>0</v>
          </cell>
          <cell r="J631">
            <v>-1545277.25</v>
          </cell>
          <cell r="K631">
            <v>-650209.67000000004</v>
          </cell>
          <cell r="L631">
            <v>0</v>
          </cell>
        </row>
        <row r="632">
          <cell r="A632">
            <v>1</v>
          </cell>
          <cell r="B632">
            <v>1</v>
          </cell>
          <cell r="C632">
            <v>489</v>
          </cell>
          <cell r="D632">
            <v>92</v>
          </cell>
          <cell r="E632" t="str">
            <v xml:space="preserve">    </v>
          </cell>
          <cell r="F632" t="str">
            <v xml:space="preserve">   </v>
          </cell>
          <cell r="G632">
            <v>1148992</v>
          </cell>
          <cell r="H632">
            <v>-189779.79</v>
          </cell>
          <cell r="I632">
            <v>0</v>
          </cell>
          <cell r="J632">
            <v>-182095.47</v>
          </cell>
          <cell r="K632">
            <v>-7684.32</v>
          </cell>
          <cell r="L632">
            <v>0</v>
          </cell>
        </row>
        <row r="633">
          <cell r="A633">
            <v>2</v>
          </cell>
          <cell r="B633">
            <v>1</v>
          </cell>
          <cell r="C633">
            <v>489</v>
          </cell>
          <cell r="D633">
            <v>92</v>
          </cell>
          <cell r="E633" t="str">
            <v xml:space="preserve">    </v>
          </cell>
          <cell r="F633" t="str">
            <v xml:space="preserve">   </v>
          </cell>
          <cell r="G633">
            <v>2148992</v>
          </cell>
          <cell r="H633">
            <v>-3580632.52</v>
          </cell>
          <cell r="I633">
            <v>0</v>
          </cell>
          <cell r="J633">
            <v>-2336951.08</v>
          </cell>
          <cell r="K633">
            <v>-1243681.44</v>
          </cell>
          <cell r="L633">
            <v>0</v>
          </cell>
        </row>
        <row r="634">
          <cell r="A634">
            <v>1</v>
          </cell>
          <cell r="B634">
            <v>1</v>
          </cell>
          <cell r="C634">
            <v>489</v>
          </cell>
          <cell r="D634">
            <v>93</v>
          </cell>
          <cell r="E634" t="str">
            <v xml:space="preserve">    </v>
          </cell>
          <cell r="F634" t="str">
            <v xml:space="preserve">   </v>
          </cell>
          <cell r="G634">
            <v>1148993</v>
          </cell>
          <cell r="H634">
            <v>-1.1499999999999999</v>
          </cell>
          <cell r="I634">
            <v>0</v>
          </cell>
          <cell r="J634">
            <v>-1.1499999999999999</v>
          </cell>
          <cell r="K634">
            <v>0</v>
          </cell>
          <cell r="L634">
            <v>0</v>
          </cell>
        </row>
        <row r="635">
          <cell r="A635">
            <v>2</v>
          </cell>
          <cell r="B635">
            <v>1</v>
          </cell>
          <cell r="C635">
            <v>489</v>
          </cell>
          <cell r="D635">
            <v>93</v>
          </cell>
          <cell r="E635" t="str">
            <v xml:space="preserve">    </v>
          </cell>
          <cell r="F635" t="str">
            <v xml:space="preserve">   </v>
          </cell>
          <cell r="G635">
            <v>2148993</v>
          </cell>
          <cell r="H635">
            <v>-6522.1</v>
          </cell>
          <cell r="I635">
            <v>0</v>
          </cell>
          <cell r="J635">
            <v>-6522.1</v>
          </cell>
          <cell r="K635">
            <v>0</v>
          </cell>
          <cell r="L635">
            <v>0</v>
          </cell>
        </row>
        <row r="636">
          <cell r="A636">
            <v>1</v>
          </cell>
          <cell r="B636">
            <v>1</v>
          </cell>
          <cell r="C636">
            <v>489</v>
          </cell>
          <cell r="D636">
            <v>94</v>
          </cell>
          <cell r="E636" t="str">
            <v xml:space="preserve">    </v>
          </cell>
          <cell r="F636" t="str">
            <v xml:space="preserve">   </v>
          </cell>
          <cell r="G636">
            <v>1148994</v>
          </cell>
          <cell r="H636">
            <v>-51269.84</v>
          </cell>
          <cell r="I636">
            <v>0</v>
          </cell>
          <cell r="J636">
            <v>-51269.84</v>
          </cell>
          <cell r="K636">
            <v>0</v>
          </cell>
          <cell r="L636">
            <v>0</v>
          </cell>
        </row>
        <row r="637">
          <cell r="A637">
            <v>2</v>
          </cell>
          <cell r="B637">
            <v>1</v>
          </cell>
          <cell r="C637">
            <v>489</v>
          </cell>
          <cell r="D637">
            <v>94</v>
          </cell>
          <cell r="E637" t="str">
            <v xml:space="preserve">    </v>
          </cell>
          <cell r="F637" t="str">
            <v xml:space="preserve">   </v>
          </cell>
          <cell r="G637">
            <v>2148994</v>
          </cell>
          <cell r="H637">
            <v>-554342.97</v>
          </cell>
          <cell r="I637">
            <v>0</v>
          </cell>
          <cell r="J637">
            <v>-554342.97</v>
          </cell>
          <cell r="K637">
            <v>0</v>
          </cell>
          <cell r="L637">
            <v>0</v>
          </cell>
        </row>
        <row r="638">
          <cell r="A638">
            <v>1</v>
          </cell>
          <cell r="B638">
            <v>1</v>
          </cell>
          <cell r="C638">
            <v>489</v>
          </cell>
          <cell r="D638">
            <v>95</v>
          </cell>
          <cell r="E638" t="str">
            <v xml:space="preserve">    </v>
          </cell>
          <cell r="F638" t="str">
            <v xml:space="preserve">   </v>
          </cell>
          <cell r="G638">
            <v>1148995</v>
          </cell>
          <cell r="H638">
            <v>-91690.37</v>
          </cell>
          <cell r="I638">
            <v>0</v>
          </cell>
          <cell r="J638">
            <v>-85083.5</v>
          </cell>
          <cell r="K638">
            <v>-6606.87</v>
          </cell>
          <cell r="L638">
            <v>0</v>
          </cell>
        </row>
        <row r="639">
          <cell r="A639">
            <v>2</v>
          </cell>
          <cell r="B639">
            <v>1</v>
          </cell>
          <cell r="C639">
            <v>489</v>
          </cell>
          <cell r="D639">
            <v>95</v>
          </cell>
          <cell r="E639" t="str">
            <v xml:space="preserve">    </v>
          </cell>
          <cell r="F639" t="str">
            <v xml:space="preserve">   </v>
          </cell>
          <cell r="G639">
            <v>2148995</v>
          </cell>
          <cell r="H639">
            <v>-917783.02</v>
          </cell>
          <cell r="I639">
            <v>0</v>
          </cell>
          <cell r="J639">
            <v>-851239.54</v>
          </cell>
          <cell r="K639">
            <v>-66543.48</v>
          </cell>
          <cell r="L639">
            <v>0</v>
          </cell>
        </row>
        <row r="640">
          <cell r="A640">
            <v>1</v>
          </cell>
          <cell r="B640">
            <v>1</v>
          </cell>
          <cell r="C640">
            <v>804</v>
          </cell>
          <cell r="D640">
            <v>5</v>
          </cell>
          <cell r="E640" t="str">
            <v xml:space="preserve">    </v>
          </cell>
          <cell r="F640" t="str">
            <v xml:space="preserve">   </v>
          </cell>
          <cell r="G640">
            <v>1180405</v>
          </cell>
          <cell r="H640">
            <v>112404.69</v>
          </cell>
          <cell r="I640">
            <v>112404.69</v>
          </cell>
          <cell r="J640">
            <v>0</v>
          </cell>
          <cell r="K640">
            <v>0</v>
          </cell>
          <cell r="L640">
            <v>0</v>
          </cell>
        </row>
        <row r="641">
          <cell r="A641">
            <v>2</v>
          </cell>
          <cell r="B641">
            <v>1</v>
          </cell>
          <cell r="C641">
            <v>804</v>
          </cell>
          <cell r="D641">
            <v>5</v>
          </cell>
          <cell r="E641" t="str">
            <v xml:space="preserve">    </v>
          </cell>
          <cell r="F641" t="str">
            <v xml:space="preserve">   </v>
          </cell>
          <cell r="G641">
            <v>2180405</v>
          </cell>
          <cell r="H641">
            <v>1153066.47</v>
          </cell>
          <cell r="I641">
            <v>1153066.47</v>
          </cell>
          <cell r="J641">
            <v>0</v>
          </cell>
          <cell r="K641">
            <v>0</v>
          </cell>
          <cell r="L641">
            <v>0</v>
          </cell>
        </row>
        <row r="642">
          <cell r="A642">
            <v>1</v>
          </cell>
          <cell r="B642">
            <v>1</v>
          </cell>
          <cell r="C642">
            <v>804</v>
          </cell>
          <cell r="D642">
            <v>6</v>
          </cell>
          <cell r="E642" t="str">
            <v xml:space="preserve">    </v>
          </cell>
          <cell r="F642" t="str">
            <v xml:space="preserve">   </v>
          </cell>
          <cell r="G642">
            <v>1180406</v>
          </cell>
          <cell r="H642">
            <v>342234.97</v>
          </cell>
          <cell r="I642">
            <v>1911131.92</v>
          </cell>
          <cell r="J642">
            <v>-1144603.82</v>
          </cell>
          <cell r="K642">
            <v>-424293.13</v>
          </cell>
          <cell r="L642">
            <v>0</v>
          </cell>
        </row>
        <row r="643">
          <cell r="A643">
            <v>2</v>
          </cell>
          <cell r="B643">
            <v>1</v>
          </cell>
          <cell r="C643">
            <v>804</v>
          </cell>
          <cell r="D643">
            <v>6</v>
          </cell>
          <cell r="E643" t="str">
            <v xml:space="preserve">    </v>
          </cell>
          <cell r="F643" t="str">
            <v xml:space="preserve">   </v>
          </cell>
          <cell r="G643">
            <v>2180406</v>
          </cell>
          <cell r="H643">
            <v>20472832.82</v>
          </cell>
          <cell r="I643">
            <v>19646163.350000001</v>
          </cell>
          <cell r="J643">
            <v>35358.870000000003</v>
          </cell>
          <cell r="K643">
            <v>791310.6</v>
          </cell>
          <cell r="L643">
            <v>0</v>
          </cell>
        </row>
        <row r="644">
          <cell r="A644">
            <v>1</v>
          </cell>
          <cell r="B644">
            <v>1</v>
          </cell>
          <cell r="C644">
            <v>804</v>
          </cell>
          <cell r="D644">
            <v>7</v>
          </cell>
          <cell r="E644" t="str">
            <v xml:space="preserve">    </v>
          </cell>
          <cell r="F644" t="str">
            <v xml:space="preserve">   </v>
          </cell>
          <cell r="G644">
            <v>1180407</v>
          </cell>
          <cell r="H644">
            <v>-439049.64</v>
          </cell>
          <cell r="I644">
            <v>-439049.64</v>
          </cell>
          <cell r="J644">
            <v>0</v>
          </cell>
          <cell r="K644">
            <v>0</v>
          </cell>
          <cell r="L644">
            <v>0</v>
          </cell>
        </row>
        <row r="645">
          <cell r="A645">
            <v>2</v>
          </cell>
          <cell r="B645">
            <v>1</v>
          </cell>
          <cell r="C645">
            <v>804</v>
          </cell>
          <cell r="D645">
            <v>7</v>
          </cell>
          <cell r="E645" t="str">
            <v xml:space="preserve">    </v>
          </cell>
          <cell r="F645" t="str">
            <v xml:space="preserve">   </v>
          </cell>
          <cell r="G645">
            <v>2180407</v>
          </cell>
          <cell r="H645">
            <v>-4769163.03</v>
          </cell>
          <cell r="I645">
            <v>-4769163.03</v>
          </cell>
          <cell r="J645">
            <v>0</v>
          </cell>
          <cell r="K645">
            <v>0</v>
          </cell>
          <cell r="L645">
            <v>0</v>
          </cell>
        </row>
        <row r="646">
          <cell r="A646">
            <v>1</v>
          </cell>
          <cell r="B646">
            <v>1</v>
          </cell>
          <cell r="C646">
            <v>804</v>
          </cell>
          <cell r="D646">
            <v>15</v>
          </cell>
          <cell r="E646" t="str">
            <v xml:space="preserve">    </v>
          </cell>
          <cell r="F646" t="str">
            <v xml:space="preserve">   </v>
          </cell>
          <cell r="G646">
            <v>1180415</v>
          </cell>
          <cell r="H646">
            <v>104171.99</v>
          </cell>
          <cell r="I646">
            <v>104171.99</v>
          </cell>
          <cell r="J646">
            <v>0</v>
          </cell>
          <cell r="K646">
            <v>0</v>
          </cell>
          <cell r="L646">
            <v>0</v>
          </cell>
        </row>
        <row r="647">
          <cell r="A647">
            <v>2</v>
          </cell>
          <cell r="B647">
            <v>1</v>
          </cell>
          <cell r="C647">
            <v>804</v>
          </cell>
          <cell r="D647">
            <v>15</v>
          </cell>
          <cell r="E647" t="str">
            <v xml:space="preserve">    </v>
          </cell>
          <cell r="F647" t="str">
            <v xml:space="preserve">   </v>
          </cell>
          <cell r="G647">
            <v>2180415</v>
          </cell>
          <cell r="H647">
            <v>924800.11</v>
          </cell>
          <cell r="I647">
            <v>924800.11</v>
          </cell>
          <cell r="J647">
            <v>0</v>
          </cell>
          <cell r="K647">
            <v>0</v>
          </cell>
          <cell r="L647">
            <v>0</v>
          </cell>
        </row>
        <row r="648">
          <cell r="A648">
            <v>1</v>
          </cell>
          <cell r="B648">
            <v>1</v>
          </cell>
          <cell r="C648">
            <v>804</v>
          </cell>
          <cell r="D648">
            <v>25</v>
          </cell>
          <cell r="E648" t="str">
            <v xml:space="preserve">    </v>
          </cell>
          <cell r="F648" t="str">
            <v xml:space="preserve">   </v>
          </cell>
          <cell r="G648">
            <v>1180425</v>
          </cell>
          <cell r="H648">
            <v>0</v>
          </cell>
          <cell r="I648">
            <v>0</v>
          </cell>
          <cell r="J648">
            <v>0</v>
          </cell>
          <cell r="K648">
            <v>0</v>
          </cell>
          <cell r="L648">
            <v>0</v>
          </cell>
        </row>
        <row r="649">
          <cell r="A649">
            <v>2</v>
          </cell>
          <cell r="B649">
            <v>1</v>
          </cell>
          <cell r="C649">
            <v>804</v>
          </cell>
          <cell r="D649">
            <v>25</v>
          </cell>
          <cell r="E649" t="str">
            <v xml:space="preserve">    </v>
          </cell>
          <cell r="F649" t="str">
            <v xml:space="preserve">   </v>
          </cell>
          <cell r="G649">
            <v>2180425</v>
          </cell>
          <cell r="H649">
            <v>-1396987.33</v>
          </cell>
          <cell r="I649">
            <v>0</v>
          </cell>
          <cell r="J649">
            <v>-1061491.44</v>
          </cell>
          <cell r="K649">
            <v>-335495.89</v>
          </cell>
          <cell r="L649">
            <v>0</v>
          </cell>
        </row>
        <row r="650">
          <cell r="A650">
            <v>1</v>
          </cell>
          <cell r="B650">
            <v>1</v>
          </cell>
          <cell r="C650">
            <v>804</v>
          </cell>
          <cell r="D650">
            <v>32</v>
          </cell>
          <cell r="E650" t="str">
            <v xml:space="preserve">    </v>
          </cell>
          <cell r="F650" t="str">
            <v xml:space="preserve">   </v>
          </cell>
          <cell r="G650">
            <v>1180432</v>
          </cell>
          <cell r="H650">
            <v>0</v>
          </cell>
          <cell r="I650">
            <v>0</v>
          </cell>
          <cell r="J650">
            <v>0</v>
          </cell>
          <cell r="K650">
            <v>0</v>
          </cell>
          <cell r="L650">
            <v>0</v>
          </cell>
        </row>
        <row r="651">
          <cell r="A651">
            <v>2</v>
          </cell>
          <cell r="B651">
            <v>1</v>
          </cell>
          <cell r="C651">
            <v>804</v>
          </cell>
          <cell r="D651">
            <v>32</v>
          </cell>
          <cell r="E651" t="str">
            <v xml:space="preserve">    </v>
          </cell>
          <cell r="F651" t="str">
            <v xml:space="preserve">   </v>
          </cell>
          <cell r="G651">
            <v>2180432</v>
          </cell>
          <cell r="H651">
            <v>12248.47</v>
          </cell>
          <cell r="I651">
            <v>12248.47</v>
          </cell>
          <cell r="J651">
            <v>0</v>
          </cell>
          <cell r="K651">
            <v>0</v>
          </cell>
          <cell r="L651">
            <v>0</v>
          </cell>
        </row>
        <row r="652">
          <cell r="A652">
            <v>1</v>
          </cell>
          <cell r="B652">
            <v>1</v>
          </cell>
          <cell r="C652">
            <v>804</v>
          </cell>
          <cell r="D652">
            <v>45</v>
          </cell>
          <cell r="E652" t="str">
            <v xml:space="preserve">    </v>
          </cell>
          <cell r="F652" t="str">
            <v xml:space="preserve">   </v>
          </cell>
          <cell r="G652">
            <v>1180445</v>
          </cell>
          <cell r="H652">
            <v>-30199</v>
          </cell>
          <cell r="I652">
            <v>-30199</v>
          </cell>
          <cell r="J652">
            <v>0</v>
          </cell>
          <cell r="K652">
            <v>0</v>
          </cell>
          <cell r="L652">
            <v>0</v>
          </cell>
        </row>
        <row r="653">
          <cell r="A653">
            <v>2</v>
          </cell>
          <cell r="B653">
            <v>1</v>
          </cell>
          <cell r="C653">
            <v>804</v>
          </cell>
          <cell r="D653">
            <v>45</v>
          </cell>
          <cell r="E653" t="str">
            <v xml:space="preserve">    </v>
          </cell>
          <cell r="F653" t="str">
            <v xml:space="preserve">   </v>
          </cell>
          <cell r="G653">
            <v>2180445</v>
          </cell>
          <cell r="H653">
            <v>257568</v>
          </cell>
          <cell r="I653">
            <v>257568</v>
          </cell>
          <cell r="J653">
            <v>0</v>
          </cell>
          <cell r="K653">
            <v>0</v>
          </cell>
          <cell r="L653">
            <v>0</v>
          </cell>
        </row>
        <row r="654">
          <cell r="A654">
            <v>1</v>
          </cell>
          <cell r="B654">
            <v>1</v>
          </cell>
          <cell r="C654">
            <v>804</v>
          </cell>
          <cell r="D654">
            <v>51</v>
          </cell>
          <cell r="E654" t="str">
            <v xml:space="preserve">    </v>
          </cell>
          <cell r="F654" t="str">
            <v xml:space="preserve">   </v>
          </cell>
          <cell r="G654">
            <v>1180451</v>
          </cell>
          <cell r="H654">
            <v>4002660.59</v>
          </cell>
          <cell r="I654">
            <v>4002660.59</v>
          </cell>
          <cell r="J654">
            <v>0</v>
          </cell>
          <cell r="K654">
            <v>0</v>
          </cell>
          <cell r="L654">
            <v>0</v>
          </cell>
        </row>
        <row r="655">
          <cell r="A655">
            <v>2</v>
          </cell>
          <cell r="B655">
            <v>1</v>
          </cell>
          <cell r="C655">
            <v>804</v>
          </cell>
          <cell r="D655">
            <v>51</v>
          </cell>
          <cell r="E655" t="str">
            <v xml:space="preserve">    </v>
          </cell>
          <cell r="F655" t="str">
            <v xml:space="preserve">   </v>
          </cell>
          <cell r="G655">
            <v>2180451</v>
          </cell>
          <cell r="H655">
            <v>25176177.48</v>
          </cell>
          <cell r="I655">
            <v>25176177.48</v>
          </cell>
          <cell r="J655">
            <v>0</v>
          </cell>
          <cell r="K655">
            <v>0</v>
          </cell>
          <cell r="L655">
            <v>0</v>
          </cell>
        </row>
        <row r="656">
          <cell r="A656">
            <v>1</v>
          </cell>
          <cell r="B656">
            <v>1</v>
          </cell>
          <cell r="C656">
            <v>804</v>
          </cell>
          <cell r="D656">
            <v>52</v>
          </cell>
          <cell r="E656" t="str">
            <v xml:space="preserve">    </v>
          </cell>
          <cell r="F656" t="str">
            <v xml:space="preserve">   </v>
          </cell>
          <cell r="G656">
            <v>1180452</v>
          </cell>
          <cell r="H656">
            <v>910608.3</v>
          </cell>
          <cell r="I656">
            <v>910608.3</v>
          </cell>
          <cell r="J656">
            <v>0</v>
          </cell>
          <cell r="K656">
            <v>0</v>
          </cell>
          <cell r="L656">
            <v>0</v>
          </cell>
        </row>
        <row r="657">
          <cell r="A657">
            <v>2</v>
          </cell>
          <cell r="B657">
            <v>1</v>
          </cell>
          <cell r="C657">
            <v>804</v>
          </cell>
          <cell r="D657">
            <v>52</v>
          </cell>
          <cell r="E657" t="str">
            <v xml:space="preserve">    </v>
          </cell>
          <cell r="F657" t="str">
            <v xml:space="preserve">   </v>
          </cell>
          <cell r="G657">
            <v>2180452</v>
          </cell>
          <cell r="H657">
            <v>5513572.75</v>
          </cell>
          <cell r="I657">
            <v>5513572.75</v>
          </cell>
          <cell r="J657">
            <v>0</v>
          </cell>
          <cell r="K657">
            <v>0</v>
          </cell>
          <cell r="L657">
            <v>0</v>
          </cell>
        </row>
        <row r="658">
          <cell r="A658">
            <v>1</v>
          </cell>
          <cell r="B658">
            <v>1</v>
          </cell>
          <cell r="C658">
            <v>804</v>
          </cell>
          <cell r="D658">
            <v>53</v>
          </cell>
          <cell r="E658" t="str">
            <v xml:space="preserve">    </v>
          </cell>
          <cell r="F658" t="str">
            <v xml:space="preserve">   </v>
          </cell>
          <cell r="G658">
            <v>1180453</v>
          </cell>
          <cell r="H658">
            <v>1548203.5</v>
          </cell>
          <cell r="I658">
            <v>1548203.5</v>
          </cell>
          <cell r="J658">
            <v>0</v>
          </cell>
          <cell r="K658">
            <v>0</v>
          </cell>
          <cell r="L658">
            <v>0</v>
          </cell>
        </row>
        <row r="659">
          <cell r="A659">
            <v>2</v>
          </cell>
          <cell r="B659">
            <v>1</v>
          </cell>
          <cell r="C659">
            <v>804</v>
          </cell>
          <cell r="D659">
            <v>53</v>
          </cell>
          <cell r="E659" t="str">
            <v xml:space="preserve">    </v>
          </cell>
          <cell r="F659" t="str">
            <v xml:space="preserve">   </v>
          </cell>
          <cell r="G659">
            <v>2180453</v>
          </cell>
          <cell r="H659">
            <v>6341729.6200000001</v>
          </cell>
          <cell r="I659">
            <v>6341729.6200000001</v>
          </cell>
          <cell r="J659">
            <v>0</v>
          </cell>
          <cell r="K659">
            <v>0</v>
          </cell>
          <cell r="L659">
            <v>0</v>
          </cell>
        </row>
        <row r="660">
          <cell r="A660">
            <v>1</v>
          </cell>
          <cell r="B660">
            <v>1</v>
          </cell>
          <cell r="C660">
            <v>804</v>
          </cell>
          <cell r="D660">
            <v>54</v>
          </cell>
          <cell r="E660" t="str">
            <v xml:space="preserve">    </v>
          </cell>
          <cell r="F660" t="str">
            <v xml:space="preserve">   </v>
          </cell>
          <cell r="G660">
            <v>1180454</v>
          </cell>
          <cell r="H660">
            <v>6362.57</v>
          </cell>
          <cell r="I660">
            <v>6362.57</v>
          </cell>
          <cell r="J660">
            <v>0</v>
          </cell>
          <cell r="K660">
            <v>0</v>
          </cell>
          <cell r="L660">
            <v>0</v>
          </cell>
        </row>
        <row r="661">
          <cell r="A661">
            <v>2</v>
          </cell>
          <cell r="B661">
            <v>1</v>
          </cell>
          <cell r="C661">
            <v>804</v>
          </cell>
          <cell r="D661">
            <v>54</v>
          </cell>
          <cell r="E661" t="str">
            <v xml:space="preserve">    </v>
          </cell>
          <cell r="F661" t="str">
            <v xml:space="preserve">   </v>
          </cell>
          <cell r="G661">
            <v>2180454</v>
          </cell>
          <cell r="H661">
            <v>3539541.26</v>
          </cell>
          <cell r="I661">
            <v>3539541.26</v>
          </cell>
          <cell r="J661">
            <v>0</v>
          </cell>
          <cell r="K661">
            <v>0</v>
          </cell>
          <cell r="L661">
            <v>0</v>
          </cell>
        </row>
        <row r="662">
          <cell r="A662">
            <v>1</v>
          </cell>
          <cell r="B662">
            <v>1</v>
          </cell>
          <cell r="C662">
            <v>804</v>
          </cell>
          <cell r="D662">
            <v>55</v>
          </cell>
          <cell r="E662" t="str">
            <v xml:space="preserve">    </v>
          </cell>
          <cell r="F662" t="str">
            <v xml:space="preserve">   </v>
          </cell>
          <cell r="G662">
            <v>1180455</v>
          </cell>
          <cell r="H662">
            <v>0</v>
          </cell>
          <cell r="I662">
            <v>0</v>
          </cell>
          <cell r="J662">
            <v>0</v>
          </cell>
          <cell r="K662">
            <v>0</v>
          </cell>
          <cell r="L662">
            <v>0</v>
          </cell>
        </row>
        <row r="663">
          <cell r="A663">
            <v>2</v>
          </cell>
          <cell r="B663">
            <v>1</v>
          </cell>
          <cell r="C663">
            <v>804</v>
          </cell>
          <cell r="D663">
            <v>55</v>
          </cell>
          <cell r="E663" t="str">
            <v xml:space="preserve">    </v>
          </cell>
          <cell r="F663" t="str">
            <v xml:space="preserve">   </v>
          </cell>
          <cell r="G663">
            <v>2180455</v>
          </cell>
          <cell r="H663">
            <v>-1637.9</v>
          </cell>
          <cell r="I663">
            <v>-1637.9</v>
          </cell>
          <cell r="J663">
            <v>0</v>
          </cell>
          <cell r="K663">
            <v>0</v>
          </cell>
          <cell r="L663">
            <v>0</v>
          </cell>
        </row>
        <row r="664">
          <cell r="A664">
            <v>1</v>
          </cell>
          <cell r="B664">
            <v>1</v>
          </cell>
          <cell r="C664">
            <v>804</v>
          </cell>
          <cell r="D664">
            <v>70</v>
          </cell>
          <cell r="E664" t="str">
            <v xml:space="preserve">    </v>
          </cell>
          <cell r="F664" t="str">
            <v xml:space="preserve">   </v>
          </cell>
          <cell r="G664">
            <v>1180470</v>
          </cell>
          <cell r="H664">
            <v>909186.22</v>
          </cell>
          <cell r="I664">
            <v>909186.22</v>
          </cell>
          <cell r="J664">
            <v>0</v>
          </cell>
          <cell r="K664">
            <v>0</v>
          </cell>
          <cell r="L664">
            <v>0</v>
          </cell>
        </row>
        <row r="665">
          <cell r="A665">
            <v>2</v>
          </cell>
          <cell r="B665">
            <v>1</v>
          </cell>
          <cell r="C665">
            <v>804</v>
          </cell>
          <cell r="D665">
            <v>70</v>
          </cell>
          <cell r="E665" t="str">
            <v xml:space="preserve">    </v>
          </cell>
          <cell r="F665" t="str">
            <v xml:space="preserve">   </v>
          </cell>
          <cell r="G665">
            <v>2180470</v>
          </cell>
          <cell r="H665">
            <v>15281131.27</v>
          </cell>
          <cell r="I665">
            <v>15281131.27</v>
          </cell>
          <cell r="J665">
            <v>0</v>
          </cell>
          <cell r="K665">
            <v>0</v>
          </cell>
          <cell r="L665">
            <v>0</v>
          </cell>
        </row>
        <row r="666">
          <cell r="A666">
            <v>1</v>
          </cell>
          <cell r="B666">
            <v>1</v>
          </cell>
          <cell r="C666">
            <v>804</v>
          </cell>
          <cell r="D666">
            <v>75</v>
          </cell>
          <cell r="E666" t="str">
            <v xml:space="preserve">    </v>
          </cell>
          <cell r="F666" t="str">
            <v xml:space="preserve">   </v>
          </cell>
          <cell r="G666">
            <v>1180475</v>
          </cell>
          <cell r="H666">
            <v>493401.4</v>
          </cell>
          <cell r="I666">
            <v>493401.4</v>
          </cell>
          <cell r="J666">
            <v>0</v>
          </cell>
          <cell r="K666">
            <v>0</v>
          </cell>
          <cell r="L666">
            <v>0</v>
          </cell>
        </row>
        <row r="667">
          <cell r="A667">
            <v>2</v>
          </cell>
          <cell r="B667">
            <v>1</v>
          </cell>
          <cell r="C667">
            <v>804</v>
          </cell>
          <cell r="D667">
            <v>75</v>
          </cell>
          <cell r="E667" t="str">
            <v xml:space="preserve">    </v>
          </cell>
          <cell r="F667" t="str">
            <v xml:space="preserve">   </v>
          </cell>
          <cell r="G667">
            <v>2180475</v>
          </cell>
          <cell r="H667">
            <v>1192665.82</v>
          </cell>
          <cell r="I667">
            <v>1192665.82</v>
          </cell>
          <cell r="J667">
            <v>0</v>
          </cell>
          <cell r="K667">
            <v>0</v>
          </cell>
          <cell r="L667">
            <v>0</v>
          </cell>
        </row>
        <row r="668">
          <cell r="A668">
            <v>1</v>
          </cell>
          <cell r="B668">
            <v>1</v>
          </cell>
          <cell r="C668">
            <v>804</v>
          </cell>
          <cell r="D668">
            <v>76</v>
          </cell>
          <cell r="E668" t="str">
            <v xml:space="preserve">    </v>
          </cell>
          <cell r="F668" t="str">
            <v xml:space="preserve">   </v>
          </cell>
          <cell r="G668">
            <v>1180476</v>
          </cell>
          <cell r="H668">
            <v>0</v>
          </cell>
          <cell r="I668">
            <v>0</v>
          </cell>
          <cell r="J668">
            <v>0</v>
          </cell>
          <cell r="K668">
            <v>0</v>
          </cell>
          <cell r="L668">
            <v>0</v>
          </cell>
        </row>
        <row r="669">
          <cell r="A669">
            <v>2</v>
          </cell>
          <cell r="B669">
            <v>1</v>
          </cell>
          <cell r="C669">
            <v>804</v>
          </cell>
          <cell r="D669">
            <v>76</v>
          </cell>
          <cell r="E669" t="str">
            <v xml:space="preserve">    </v>
          </cell>
          <cell r="F669" t="str">
            <v xml:space="preserve">   </v>
          </cell>
          <cell r="G669">
            <v>2180476</v>
          </cell>
          <cell r="H669">
            <v>54616.12</v>
          </cell>
          <cell r="I669">
            <v>54616.12</v>
          </cell>
          <cell r="J669">
            <v>0</v>
          </cell>
          <cell r="K669">
            <v>0</v>
          </cell>
          <cell r="L669">
            <v>0</v>
          </cell>
        </row>
        <row r="670">
          <cell r="A670">
            <v>1</v>
          </cell>
          <cell r="B670">
            <v>1</v>
          </cell>
          <cell r="C670">
            <v>805</v>
          </cell>
          <cell r="D670">
            <v>11</v>
          </cell>
          <cell r="E670" t="str">
            <v xml:space="preserve">    </v>
          </cell>
          <cell r="F670" t="str">
            <v xml:space="preserve">   </v>
          </cell>
          <cell r="G670">
            <v>1180511</v>
          </cell>
          <cell r="H670">
            <v>-360403.76</v>
          </cell>
          <cell r="I670">
            <v>0</v>
          </cell>
          <cell r="J670">
            <v>-340645.24</v>
          </cell>
          <cell r="K670">
            <v>-19758.52</v>
          </cell>
          <cell r="L670">
            <v>0</v>
          </cell>
        </row>
        <row r="671">
          <cell r="A671">
            <v>2</v>
          </cell>
          <cell r="B671">
            <v>1</v>
          </cell>
          <cell r="C671">
            <v>805</v>
          </cell>
          <cell r="D671">
            <v>11</v>
          </cell>
          <cell r="E671" t="str">
            <v xml:space="preserve">    </v>
          </cell>
          <cell r="F671" t="str">
            <v xml:space="preserve">   </v>
          </cell>
          <cell r="G671">
            <v>2180511</v>
          </cell>
          <cell r="H671">
            <v>-4291322.8499999996</v>
          </cell>
          <cell r="I671">
            <v>0</v>
          </cell>
          <cell r="J671">
            <v>-3937646.32</v>
          </cell>
          <cell r="K671">
            <v>-353676.53</v>
          </cell>
          <cell r="L671">
            <v>0</v>
          </cell>
        </row>
        <row r="672">
          <cell r="A672">
            <v>1</v>
          </cell>
          <cell r="B672">
            <v>1</v>
          </cell>
          <cell r="C672">
            <v>805</v>
          </cell>
          <cell r="D672">
            <v>12</v>
          </cell>
          <cell r="E672" t="str">
            <v xml:space="preserve">    </v>
          </cell>
          <cell r="F672" t="str">
            <v xml:space="preserve">   </v>
          </cell>
          <cell r="G672">
            <v>1180512</v>
          </cell>
          <cell r="H672">
            <v>699272.25</v>
          </cell>
          <cell r="I672">
            <v>0</v>
          </cell>
          <cell r="J672">
            <v>563066.6</v>
          </cell>
          <cell r="K672">
            <v>136205.65</v>
          </cell>
          <cell r="L672">
            <v>0</v>
          </cell>
        </row>
        <row r="673">
          <cell r="A673">
            <v>2</v>
          </cell>
          <cell r="B673">
            <v>1</v>
          </cell>
          <cell r="C673">
            <v>805</v>
          </cell>
          <cell r="D673">
            <v>12</v>
          </cell>
          <cell r="E673" t="str">
            <v xml:space="preserve">    </v>
          </cell>
          <cell r="F673" t="str">
            <v xml:space="preserve">   </v>
          </cell>
          <cell r="G673">
            <v>2180512</v>
          </cell>
          <cell r="H673">
            <v>2739917.28</v>
          </cell>
          <cell r="I673">
            <v>0</v>
          </cell>
          <cell r="J673">
            <v>2776683.47</v>
          </cell>
          <cell r="K673">
            <v>-36766.19</v>
          </cell>
          <cell r="L673">
            <v>0</v>
          </cell>
        </row>
        <row r="674">
          <cell r="A674">
            <v>1</v>
          </cell>
          <cell r="B674">
            <v>1</v>
          </cell>
          <cell r="C674">
            <v>805</v>
          </cell>
          <cell r="D674">
            <v>99</v>
          </cell>
          <cell r="E674" t="str">
            <v xml:space="preserve">    </v>
          </cell>
          <cell r="F674" t="str">
            <v xml:space="preserve">   </v>
          </cell>
          <cell r="G674">
            <v>1180599</v>
          </cell>
          <cell r="H674">
            <v>636890</v>
          </cell>
          <cell r="I674">
            <v>0</v>
          </cell>
          <cell r="J674">
            <v>319381</v>
          </cell>
          <cell r="K674">
            <v>317509</v>
          </cell>
          <cell r="L674">
            <v>0</v>
          </cell>
        </row>
        <row r="675">
          <cell r="A675">
            <v>2</v>
          </cell>
          <cell r="B675">
            <v>1</v>
          </cell>
          <cell r="C675">
            <v>805</v>
          </cell>
          <cell r="D675">
            <v>99</v>
          </cell>
          <cell r="E675" t="str">
            <v xml:space="preserve">    </v>
          </cell>
          <cell r="F675" t="str">
            <v xml:space="preserve">   </v>
          </cell>
          <cell r="G675">
            <v>2180599</v>
          </cell>
          <cell r="H675">
            <v>-1519158.7</v>
          </cell>
          <cell r="I675">
            <v>0</v>
          </cell>
          <cell r="J675">
            <v>-1478124.27</v>
          </cell>
          <cell r="K675">
            <v>-41034.43</v>
          </cell>
          <cell r="L675">
            <v>0</v>
          </cell>
        </row>
        <row r="676">
          <cell r="A676">
            <v>1</v>
          </cell>
          <cell r="B676">
            <v>1</v>
          </cell>
          <cell r="C676">
            <v>807</v>
          </cell>
          <cell r="D676">
            <v>40</v>
          </cell>
          <cell r="E676" t="str">
            <v xml:space="preserve">    </v>
          </cell>
          <cell r="F676" t="str">
            <v xml:space="preserve">   </v>
          </cell>
          <cell r="G676">
            <v>1180740</v>
          </cell>
          <cell r="H676">
            <v>20167.330000000002</v>
          </cell>
          <cell r="I676">
            <v>20167.330000000002</v>
          </cell>
          <cell r="J676">
            <v>0</v>
          </cell>
          <cell r="K676">
            <v>0</v>
          </cell>
          <cell r="L676">
            <v>0</v>
          </cell>
        </row>
        <row r="677">
          <cell r="A677">
            <v>2</v>
          </cell>
          <cell r="B677">
            <v>1</v>
          </cell>
          <cell r="C677">
            <v>807</v>
          </cell>
          <cell r="D677">
            <v>40</v>
          </cell>
          <cell r="E677" t="str">
            <v xml:space="preserve">    </v>
          </cell>
          <cell r="F677" t="str">
            <v xml:space="preserve">   </v>
          </cell>
          <cell r="G677">
            <v>2180740</v>
          </cell>
          <cell r="H677">
            <v>183522.54</v>
          </cell>
          <cell r="I677">
            <v>183522.54</v>
          </cell>
          <cell r="J677">
            <v>0</v>
          </cell>
          <cell r="K677">
            <v>0</v>
          </cell>
          <cell r="L677">
            <v>0</v>
          </cell>
        </row>
        <row r="678">
          <cell r="A678">
            <v>1</v>
          </cell>
          <cell r="B678">
            <v>1</v>
          </cell>
          <cell r="C678">
            <v>903</v>
          </cell>
          <cell r="D678">
            <v>10</v>
          </cell>
          <cell r="E678" t="str">
            <v xml:space="preserve">    </v>
          </cell>
          <cell r="F678" t="str">
            <v xml:space="preserve">   </v>
          </cell>
          <cell r="G678">
            <v>1190310</v>
          </cell>
          <cell r="H678">
            <v>42.39</v>
          </cell>
          <cell r="I678">
            <v>0</v>
          </cell>
          <cell r="J678">
            <v>42.39</v>
          </cell>
          <cell r="K678">
            <v>0</v>
          </cell>
          <cell r="L678">
            <v>0</v>
          </cell>
        </row>
        <row r="679">
          <cell r="A679">
            <v>2</v>
          </cell>
          <cell r="B679">
            <v>1</v>
          </cell>
          <cell r="C679">
            <v>903</v>
          </cell>
          <cell r="D679">
            <v>10</v>
          </cell>
          <cell r="E679" t="str">
            <v xml:space="preserve">    </v>
          </cell>
          <cell r="F679" t="str">
            <v xml:space="preserve">   </v>
          </cell>
          <cell r="G679">
            <v>2190310</v>
          </cell>
          <cell r="H679">
            <v>807.36</v>
          </cell>
          <cell r="I679">
            <v>0</v>
          </cell>
          <cell r="J679">
            <v>807.36</v>
          </cell>
          <cell r="K679">
            <v>0</v>
          </cell>
          <cell r="L679">
            <v>0</v>
          </cell>
        </row>
        <row r="680">
          <cell r="A680">
            <v>1</v>
          </cell>
          <cell r="B680">
            <v>1</v>
          </cell>
          <cell r="C680">
            <v>903</v>
          </cell>
          <cell r="D680">
            <v>20</v>
          </cell>
          <cell r="E680" t="str">
            <v xml:space="preserve">    </v>
          </cell>
          <cell r="F680" t="str">
            <v xml:space="preserve">   </v>
          </cell>
          <cell r="G680">
            <v>1190320</v>
          </cell>
          <cell r="H680">
            <v>98056.51</v>
          </cell>
          <cell r="I680">
            <v>63023.39</v>
          </cell>
          <cell r="J680">
            <v>23051.599999999999</v>
          </cell>
          <cell r="K680">
            <v>11981.52</v>
          </cell>
          <cell r="L680">
            <v>0</v>
          </cell>
        </row>
        <row r="681">
          <cell r="A681">
            <v>2</v>
          </cell>
          <cell r="B681">
            <v>1</v>
          </cell>
          <cell r="C681">
            <v>903</v>
          </cell>
          <cell r="D681">
            <v>20</v>
          </cell>
          <cell r="E681" t="str">
            <v xml:space="preserve">    </v>
          </cell>
          <cell r="F681" t="str">
            <v xml:space="preserve">   </v>
          </cell>
          <cell r="G681">
            <v>2190320</v>
          </cell>
          <cell r="H681">
            <v>999788.73</v>
          </cell>
          <cell r="I681">
            <v>628363.24</v>
          </cell>
          <cell r="J681">
            <v>244269.14</v>
          </cell>
          <cell r="K681">
            <v>127156.35</v>
          </cell>
          <cell r="L681">
            <v>0</v>
          </cell>
        </row>
        <row r="682">
          <cell r="A682">
            <v>1</v>
          </cell>
          <cell r="B682">
            <v>1</v>
          </cell>
          <cell r="C682">
            <v>903</v>
          </cell>
          <cell r="D682">
            <v>21</v>
          </cell>
          <cell r="E682" t="str">
            <v xml:space="preserve">    </v>
          </cell>
          <cell r="F682" t="str">
            <v xml:space="preserve">   </v>
          </cell>
          <cell r="G682">
            <v>1190321</v>
          </cell>
          <cell r="H682">
            <v>18427.7</v>
          </cell>
          <cell r="I682">
            <v>210.71</v>
          </cell>
          <cell r="J682">
            <v>17993.740000000002</v>
          </cell>
          <cell r="K682">
            <v>223.25</v>
          </cell>
          <cell r="L682">
            <v>0</v>
          </cell>
        </row>
        <row r="683">
          <cell r="A683">
            <v>2</v>
          </cell>
          <cell r="B683">
            <v>1</v>
          </cell>
          <cell r="C683">
            <v>903</v>
          </cell>
          <cell r="D683">
            <v>21</v>
          </cell>
          <cell r="E683" t="str">
            <v xml:space="preserve">    </v>
          </cell>
          <cell r="F683" t="str">
            <v xml:space="preserve">   </v>
          </cell>
          <cell r="G683">
            <v>2190321</v>
          </cell>
          <cell r="H683">
            <v>68080.72</v>
          </cell>
          <cell r="I683">
            <v>9248.84</v>
          </cell>
          <cell r="J683">
            <v>57343.97</v>
          </cell>
          <cell r="K683">
            <v>1487.91</v>
          </cell>
          <cell r="L683">
            <v>0</v>
          </cell>
        </row>
        <row r="684">
          <cell r="A684">
            <v>1</v>
          </cell>
          <cell r="B684">
            <v>1</v>
          </cell>
          <cell r="C684">
            <v>903</v>
          </cell>
          <cell r="D684">
            <v>23</v>
          </cell>
          <cell r="E684" t="str">
            <v xml:space="preserve">    </v>
          </cell>
          <cell r="F684" t="str">
            <v xml:space="preserve">   </v>
          </cell>
          <cell r="G684">
            <v>1190323</v>
          </cell>
          <cell r="H684">
            <v>56.99</v>
          </cell>
          <cell r="I684">
            <v>0</v>
          </cell>
          <cell r="J684">
            <v>56.99</v>
          </cell>
          <cell r="K684">
            <v>0</v>
          </cell>
          <cell r="L684">
            <v>0</v>
          </cell>
        </row>
        <row r="685">
          <cell r="A685">
            <v>2</v>
          </cell>
          <cell r="B685">
            <v>1</v>
          </cell>
          <cell r="C685">
            <v>903</v>
          </cell>
          <cell r="D685">
            <v>23</v>
          </cell>
          <cell r="E685" t="str">
            <v xml:space="preserve">    </v>
          </cell>
          <cell r="F685" t="str">
            <v xml:space="preserve">   </v>
          </cell>
          <cell r="G685">
            <v>2190323</v>
          </cell>
          <cell r="H685">
            <v>56.99</v>
          </cell>
          <cell r="I685">
            <v>0</v>
          </cell>
          <cell r="J685">
            <v>56.99</v>
          </cell>
          <cell r="K685">
            <v>0</v>
          </cell>
          <cell r="L685">
            <v>0</v>
          </cell>
        </row>
        <row r="686">
          <cell r="A686">
            <v>1</v>
          </cell>
          <cell r="B686">
            <v>1</v>
          </cell>
          <cell r="C686">
            <v>903</v>
          </cell>
          <cell r="D686">
            <v>25</v>
          </cell>
          <cell r="E686" t="str">
            <v xml:space="preserve">    </v>
          </cell>
          <cell r="F686" t="str">
            <v xml:space="preserve">   </v>
          </cell>
          <cell r="G686">
            <v>1190325</v>
          </cell>
          <cell r="H686">
            <v>3389.93</v>
          </cell>
          <cell r="I686">
            <v>3053.16</v>
          </cell>
          <cell r="J686">
            <v>336.77</v>
          </cell>
          <cell r="K686">
            <v>0</v>
          </cell>
          <cell r="L686">
            <v>0</v>
          </cell>
        </row>
        <row r="687">
          <cell r="A687">
            <v>2</v>
          </cell>
          <cell r="B687">
            <v>1</v>
          </cell>
          <cell r="C687">
            <v>903</v>
          </cell>
          <cell r="D687">
            <v>25</v>
          </cell>
          <cell r="E687" t="str">
            <v xml:space="preserve">    </v>
          </cell>
          <cell r="F687" t="str">
            <v xml:space="preserve">   </v>
          </cell>
          <cell r="G687">
            <v>2190325</v>
          </cell>
          <cell r="H687">
            <v>52667.62</v>
          </cell>
          <cell r="I687">
            <v>49309.760000000002</v>
          </cell>
          <cell r="J687">
            <v>3357.86</v>
          </cell>
          <cell r="K687">
            <v>0</v>
          </cell>
          <cell r="L687">
            <v>0</v>
          </cell>
        </row>
        <row r="688">
          <cell r="A688">
            <v>1</v>
          </cell>
          <cell r="B688">
            <v>1</v>
          </cell>
          <cell r="C688">
            <v>903</v>
          </cell>
          <cell r="D688">
            <v>27</v>
          </cell>
          <cell r="E688" t="str">
            <v xml:space="preserve">    </v>
          </cell>
          <cell r="F688" t="str">
            <v xml:space="preserve">   </v>
          </cell>
          <cell r="G688">
            <v>1190327</v>
          </cell>
          <cell r="H688">
            <v>1344.53</v>
          </cell>
          <cell r="I688">
            <v>1344.53</v>
          </cell>
          <cell r="J688">
            <v>0</v>
          </cell>
          <cell r="K688">
            <v>0</v>
          </cell>
          <cell r="L688">
            <v>0</v>
          </cell>
        </row>
        <row r="689">
          <cell r="A689">
            <v>2</v>
          </cell>
          <cell r="B689">
            <v>1</v>
          </cell>
          <cell r="C689">
            <v>903</v>
          </cell>
          <cell r="D689">
            <v>27</v>
          </cell>
          <cell r="E689" t="str">
            <v xml:space="preserve">    </v>
          </cell>
          <cell r="F689" t="str">
            <v xml:space="preserve">   </v>
          </cell>
          <cell r="G689">
            <v>2190327</v>
          </cell>
          <cell r="H689">
            <v>16203.78</v>
          </cell>
          <cell r="I689">
            <v>16203.78</v>
          </cell>
          <cell r="J689">
            <v>0</v>
          </cell>
          <cell r="K689">
            <v>0</v>
          </cell>
          <cell r="L689">
            <v>0</v>
          </cell>
        </row>
        <row r="690">
          <cell r="A690">
            <v>1</v>
          </cell>
          <cell r="B690">
            <v>1</v>
          </cell>
          <cell r="C690">
            <v>903</v>
          </cell>
          <cell r="D690">
            <v>30</v>
          </cell>
          <cell r="E690" t="str">
            <v xml:space="preserve">    </v>
          </cell>
          <cell r="F690" t="str">
            <v xml:space="preserve">   </v>
          </cell>
          <cell r="G690">
            <v>1190330</v>
          </cell>
          <cell r="H690">
            <v>125271.58</v>
          </cell>
          <cell r="I690">
            <v>121154.31</v>
          </cell>
          <cell r="J690">
            <v>437.79</v>
          </cell>
          <cell r="K690">
            <v>3679.48</v>
          </cell>
          <cell r="L690">
            <v>0</v>
          </cell>
        </row>
        <row r="691">
          <cell r="A691">
            <v>2</v>
          </cell>
          <cell r="B691">
            <v>1</v>
          </cell>
          <cell r="C691">
            <v>903</v>
          </cell>
          <cell r="D691">
            <v>30</v>
          </cell>
          <cell r="E691" t="str">
            <v xml:space="preserve">    </v>
          </cell>
          <cell r="F691" t="str">
            <v xml:space="preserve">   </v>
          </cell>
          <cell r="G691">
            <v>2190330</v>
          </cell>
          <cell r="H691">
            <v>1331900</v>
          </cell>
          <cell r="I691">
            <v>1302957.73</v>
          </cell>
          <cell r="J691">
            <v>5206.71</v>
          </cell>
          <cell r="K691">
            <v>23735.56</v>
          </cell>
          <cell r="L691">
            <v>0</v>
          </cell>
        </row>
        <row r="692">
          <cell r="A692">
            <v>1</v>
          </cell>
          <cell r="B692">
            <v>1</v>
          </cell>
          <cell r="C692">
            <v>903</v>
          </cell>
          <cell r="D692">
            <v>35</v>
          </cell>
          <cell r="E692" t="str">
            <v xml:space="preserve">    </v>
          </cell>
          <cell r="F692" t="str">
            <v xml:space="preserve">   </v>
          </cell>
          <cell r="G692">
            <v>1190335</v>
          </cell>
          <cell r="H692">
            <v>1103.71</v>
          </cell>
          <cell r="I692">
            <v>1103.71</v>
          </cell>
          <cell r="J692">
            <v>0</v>
          </cell>
          <cell r="K692">
            <v>0</v>
          </cell>
          <cell r="L692">
            <v>0</v>
          </cell>
        </row>
        <row r="693">
          <cell r="A693">
            <v>2</v>
          </cell>
          <cell r="B693">
            <v>1</v>
          </cell>
          <cell r="C693">
            <v>903</v>
          </cell>
          <cell r="D693">
            <v>35</v>
          </cell>
          <cell r="E693" t="str">
            <v xml:space="preserve">    </v>
          </cell>
          <cell r="F693" t="str">
            <v xml:space="preserve">   </v>
          </cell>
          <cell r="G693">
            <v>2190335</v>
          </cell>
          <cell r="H693">
            <v>13971.13</v>
          </cell>
          <cell r="I693">
            <v>13971.13</v>
          </cell>
          <cell r="J693">
            <v>0</v>
          </cell>
          <cell r="K693">
            <v>0</v>
          </cell>
          <cell r="L693">
            <v>0</v>
          </cell>
        </row>
        <row r="694">
          <cell r="A694">
            <v>1</v>
          </cell>
          <cell r="B694">
            <v>1</v>
          </cell>
          <cell r="C694">
            <v>903</v>
          </cell>
          <cell r="D694">
            <v>39</v>
          </cell>
          <cell r="E694" t="str">
            <v xml:space="preserve">    </v>
          </cell>
          <cell r="F694" t="str">
            <v xml:space="preserve">   </v>
          </cell>
          <cell r="G694">
            <v>1190339</v>
          </cell>
          <cell r="H694">
            <v>-140.11000000000001</v>
          </cell>
          <cell r="I694">
            <v>-86.07</v>
          </cell>
          <cell r="J694">
            <v>-46.25</v>
          </cell>
          <cell r="K694">
            <v>-7.79</v>
          </cell>
          <cell r="L694">
            <v>0</v>
          </cell>
        </row>
        <row r="695">
          <cell r="A695">
            <v>2</v>
          </cell>
          <cell r="B695">
            <v>1</v>
          </cell>
          <cell r="C695">
            <v>903</v>
          </cell>
          <cell r="D695">
            <v>39</v>
          </cell>
          <cell r="E695" t="str">
            <v xml:space="preserve">    </v>
          </cell>
          <cell r="F695" t="str">
            <v xml:space="preserve">   </v>
          </cell>
          <cell r="G695">
            <v>2190339</v>
          </cell>
          <cell r="H695">
            <v>54.38</v>
          </cell>
          <cell r="I695">
            <v>300.79000000000002</v>
          </cell>
          <cell r="J695">
            <v>-202.33</v>
          </cell>
          <cell r="K695">
            <v>-44.08</v>
          </cell>
          <cell r="L695">
            <v>0</v>
          </cell>
        </row>
        <row r="696">
          <cell r="A696">
            <v>1</v>
          </cell>
          <cell r="B696">
            <v>1</v>
          </cell>
          <cell r="C696">
            <v>903</v>
          </cell>
          <cell r="D696">
            <v>40</v>
          </cell>
          <cell r="E696" t="str">
            <v xml:space="preserve">    </v>
          </cell>
          <cell r="F696" t="str">
            <v xml:space="preserve">   </v>
          </cell>
          <cell r="G696">
            <v>1190340</v>
          </cell>
          <cell r="H696">
            <v>5724.15</v>
          </cell>
          <cell r="I696">
            <v>0</v>
          </cell>
          <cell r="J696">
            <v>5724.15</v>
          </cell>
          <cell r="K696">
            <v>0</v>
          </cell>
          <cell r="L696">
            <v>0</v>
          </cell>
        </row>
        <row r="697">
          <cell r="A697">
            <v>2</v>
          </cell>
          <cell r="B697">
            <v>1</v>
          </cell>
          <cell r="C697">
            <v>903</v>
          </cell>
          <cell r="D697">
            <v>40</v>
          </cell>
          <cell r="E697" t="str">
            <v xml:space="preserve">    </v>
          </cell>
          <cell r="F697" t="str">
            <v xml:space="preserve">   </v>
          </cell>
          <cell r="G697">
            <v>2190340</v>
          </cell>
          <cell r="H697">
            <v>6883.03</v>
          </cell>
          <cell r="I697">
            <v>0</v>
          </cell>
          <cell r="J697">
            <v>6883.03</v>
          </cell>
          <cell r="K697">
            <v>0</v>
          </cell>
          <cell r="L697">
            <v>0</v>
          </cell>
        </row>
        <row r="698">
          <cell r="A698">
            <v>1</v>
          </cell>
          <cell r="B698">
            <v>1</v>
          </cell>
          <cell r="C698">
            <v>903</v>
          </cell>
          <cell r="D698">
            <v>92</v>
          </cell>
          <cell r="E698" t="str">
            <v xml:space="preserve">    </v>
          </cell>
          <cell r="F698" t="str">
            <v xml:space="preserve">   </v>
          </cell>
          <cell r="G698">
            <v>1190392</v>
          </cell>
          <cell r="H698">
            <v>2276.17</v>
          </cell>
          <cell r="I698">
            <v>2276.17</v>
          </cell>
          <cell r="J698">
            <v>0</v>
          </cell>
          <cell r="K698">
            <v>0</v>
          </cell>
          <cell r="L698">
            <v>0</v>
          </cell>
        </row>
        <row r="699">
          <cell r="A699">
            <v>2</v>
          </cell>
          <cell r="B699">
            <v>1</v>
          </cell>
          <cell r="C699">
            <v>903</v>
          </cell>
          <cell r="D699">
            <v>92</v>
          </cell>
          <cell r="E699" t="str">
            <v xml:space="preserve">    </v>
          </cell>
          <cell r="F699" t="str">
            <v xml:space="preserve">   </v>
          </cell>
          <cell r="G699">
            <v>2190392</v>
          </cell>
          <cell r="H699">
            <v>23662.07</v>
          </cell>
          <cell r="I699">
            <v>23662.07</v>
          </cell>
          <cell r="J699">
            <v>0</v>
          </cell>
          <cell r="K699">
            <v>0</v>
          </cell>
          <cell r="L699">
            <v>0</v>
          </cell>
        </row>
        <row r="700">
          <cell r="A700">
            <v>1</v>
          </cell>
          <cell r="B700">
            <v>1</v>
          </cell>
          <cell r="C700">
            <v>903</v>
          </cell>
          <cell r="D700">
            <v>93</v>
          </cell>
          <cell r="E700" t="str">
            <v xml:space="preserve">    </v>
          </cell>
          <cell r="F700" t="str">
            <v xml:space="preserve">   </v>
          </cell>
          <cell r="G700">
            <v>1190393</v>
          </cell>
          <cell r="H700">
            <v>14290.27</v>
          </cell>
          <cell r="I700">
            <v>14290.27</v>
          </cell>
          <cell r="J700">
            <v>0</v>
          </cell>
          <cell r="K700">
            <v>0</v>
          </cell>
          <cell r="L700">
            <v>0</v>
          </cell>
        </row>
        <row r="701">
          <cell r="A701">
            <v>2</v>
          </cell>
          <cell r="B701">
            <v>1</v>
          </cell>
          <cell r="C701">
            <v>903</v>
          </cell>
          <cell r="D701">
            <v>93</v>
          </cell>
          <cell r="E701" t="str">
            <v xml:space="preserve">    </v>
          </cell>
          <cell r="F701" t="str">
            <v xml:space="preserve">   </v>
          </cell>
          <cell r="G701">
            <v>2190393</v>
          </cell>
          <cell r="H701">
            <v>338354.38</v>
          </cell>
          <cell r="I701">
            <v>338354.38</v>
          </cell>
          <cell r="J701">
            <v>0</v>
          </cell>
          <cell r="K701">
            <v>0</v>
          </cell>
          <cell r="L701">
            <v>0</v>
          </cell>
        </row>
        <row r="702">
          <cell r="A702">
            <v>1</v>
          </cell>
          <cell r="B702">
            <v>1</v>
          </cell>
          <cell r="C702">
            <v>908</v>
          </cell>
          <cell r="D702">
            <v>0</v>
          </cell>
          <cell r="E702" t="str">
            <v xml:space="preserve">    </v>
          </cell>
          <cell r="F702" t="str">
            <v xml:space="preserve">   </v>
          </cell>
          <cell r="G702">
            <v>1190800</v>
          </cell>
          <cell r="H702">
            <v>15238.13</v>
          </cell>
          <cell r="I702">
            <v>8676.16</v>
          </cell>
          <cell r="J702">
            <v>2762.27</v>
          </cell>
          <cell r="K702">
            <v>3799.7</v>
          </cell>
          <cell r="L702">
            <v>0</v>
          </cell>
        </row>
        <row r="703">
          <cell r="A703">
            <v>2</v>
          </cell>
          <cell r="B703">
            <v>1</v>
          </cell>
          <cell r="C703">
            <v>908</v>
          </cell>
          <cell r="D703">
            <v>0</v>
          </cell>
          <cell r="E703" t="str">
            <v xml:space="preserve">    </v>
          </cell>
          <cell r="F703" t="str">
            <v xml:space="preserve">   </v>
          </cell>
          <cell r="G703">
            <v>2190800</v>
          </cell>
          <cell r="H703">
            <v>139273.64000000001</v>
          </cell>
          <cell r="I703">
            <v>60184.79</v>
          </cell>
          <cell r="J703">
            <v>40365.49</v>
          </cell>
          <cell r="K703">
            <v>38723.360000000001</v>
          </cell>
          <cell r="L703">
            <v>0</v>
          </cell>
        </row>
        <row r="704">
          <cell r="A704">
            <v>1</v>
          </cell>
          <cell r="B704">
            <v>1</v>
          </cell>
          <cell r="C704">
            <v>908</v>
          </cell>
          <cell r="D704">
            <v>10</v>
          </cell>
          <cell r="E704" t="str">
            <v xml:space="preserve">    </v>
          </cell>
          <cell r="F704" t="str">
            <v xml:space="preserve">   </v>
          </cell>
          <cell r="G704">
            <v>1190810</v>
          </cell>
          <cell r="H704">
            <v>4838.66</v>
          </cell>
          <cell r="I704">
            <v>4629.3599999999997</v>
          </cell>
          <cell r="J704">
            <v>0</v>
          </cell>
          <cell r="K704">
            <v>209.3</v>
          </cell>
          <cell r="L704">
            <v>0</v>
          </cell>
        </row>
        <row r="705">
          <cell r="A705">
            <v>2</v>
          </cell>
          <cell r="B705">
            <v>1</v>
          </cell>
          <cell r="C705">
            <v>908</v>
          </cell>
          <cell r="D705">
            <v>10</v>
          </cell>
          <cell r="E705" t="str">
            <v xml:space="preserve">    </v>
          </cell>
          <cell r="F705" t="str">
            <v xml:space="preserve">   </v>
          </cell>
          <cell r="G705">
            <v>2190810</v>
          </cell>
          <cell r="H705">
            <v>48412.41</v>
          </cell>
          <cell r="I705">
            <v>46684.91</v>
          </cell>
          <cell r="J705">
            <v>0</v>
          </cell>
          <cell r="K705">
            <v>1727.5</v>
          </cell>
          <cell r="L705">
            <v>0</v>
          </cell>
        </row>
        <row r="706">
          <cell r="A706">
            <v>1</v>
          </cell>
          <cell r="B706">
            <v>1</v>
          </cell>
          <cell r="C706">
            <v>908</v>
          </cell>
          <cell r="D706">
            <v>60</v>
          </cell>
          <cell r="E706" t="str">
            <v xml:space="preserve">    </v>
          </cell>
          <cell r="F706" t="str">
            <v xml:space="preserve">   </v>
          </cell>
          <cell r="G706">
            <v>1190860</v>
          </cell>
          <cell r="H706">
            <v>0</v>
          </cell>
          <cell r="I706">
            <v>0</v>
          </cell>
          <cell r="J706">
            <v>0</v>
          </cell>
          <cell r="K706">
            <v>0</v>
          </cell>
          <cell r="L706">
            <v>0</v>
          </cell>
        </row>
        <row r="707">
          <cell r="A707">
            <v>2</v>
          </cell>
          <cell r="B707">
            <v>1</v>
          </cell>
          <cell r="C707">
            <v>908</v>
          </cell>
          <cell r="D707">
            <v>60</v>
          </cell>
          <cell r="E707" t="str">
            <v xml:space="preserve">    </v>
          </cell>
          <cell r="F707" t="str">
            <v xml:space="preserve">   </v>
          </cell>
          <cell r="G707">
            <v>2190860</v>
          </cell>
          <cell r="H707">
            <v>-50</v>
          </cell>
          <cell r="I707">
            <v>-50</v>
          </cell>
          <cell r="J707">
            <v>0</v>
          </cell>
          <cell r="K707">
            <v>0</v>
          </cell>
          <cell r="L707">
            <v>0</v>
          </cell>
        </row>
        <row r="708">
          <cell r="A708">
            <v>1</v>
          </cell>
          <cell r="B708">
            <v>1</v>
          </cell>
          <cell r="C708">
            <v>908</v>
          </cell>
          <cell r="D708">
            <v>75</v>
          </cell>
          <cell r="E708" t="str">
            <v xml:space="preserve">    </v>
          </cell>
          <cell r="F708" t="str">
            <v xml:space="preserve">   </v>
          </cell>
          <cell r="G708">
            <v>1190875</v>
          </cell>
          <cell r="H708">
            <v>4913.49</v>
          </cell>
          <cell r="I708">
            <v>0</v>
          </cell>
          <cell r="J708">
            <v>3576.16</v>
          </cell>
          <cell r="K708">
            <v>1337.33</v>
          </cell>
          <cell r="L708">
            <v>0</v>
          </cell>
        </row>
        <row r="709">
          <cell r="A709">
            <v>2</v>
          </cell>
          <cell r="B709">
            <v>1</v>
          </cell>
          <cell r="C709">
            <v>908</v>
          </cell>
          <cell r="D709">
            <v>75</v>
          </cell>
          <cell r="E709" t="str">
            <v xml:space="preserve">    </v>
          </cell>
          <cell r="F709" t="str">
            <v xml:space="preserve">   </v>
          </cell>
          <cell r="G709">
            <v>2190875</v>
          </cell>
          <cell r="H709">
            <v>58961.88</v>
          </cell>
          <cell r="I709">
            <v>0</v>
          </cell>
          <cell r="J709">
            <v>42913.919999999998</v>
          </cell>
          <cell r="K709">
            <v>16047.96</v>
          </cell>
          <cell r="L709">
            <v>0</v>
          </cell>
        </row>
        <row r="710">
          <cell r="A710">
            <v>1</v>
          </cell>
          <cell r="B710">
            <v>1</v>
          </cell>
          <cell r="C710">
            <v>908</v>
          </cell>
          <cell r="D710">
            <v>79</v>
          </cell>
          <cell r="E710" t="str">
            <v xml:space="preserve">    </v>
          </cell>
          <cell r="F710" t="str">
            <v xml:space="preserve">   </v>
          </cell>
          <cell r="G710">
            <v>1190879</v>
          </cell>
          <cell r="H710">
            <v>42314.35</v>
          </cell>
          <cell r="I710">
            <v>0</v>
          </cell>
          <cell r="J710">
            <v>32549.01</v>
          </cell>
          <cell r="K710">
            <v>9765.34</v>
          </cell>
          <cell r="L710">
            <v>0</v>
          </cell>
        </row>
        <row r="711">
          <cell r="A711">
            <v>2</v>
          </cell>
          <cell r="B711">
            <v>1</v>
          </cell>
          <cell r="C711">
            <v>908</v>
          </cell>
          <cell r="D711">
            <v>79</v>
          </cell>
          <cell r="E711" t="str">
            <v xml:space="preserve">    </v>
          </cell>
          <cell r="F711" t="str">
            <v xml:space="preserve">   </v>
          </cell>
          <cell r="G711">
            <v>2190879</v>
          </cell>
          <cell r="H711">
            <v>507772.2</v>
          </cell>
          <cell r="I711">
            <v>0</v>
          </cell>
          <cell r="J711">
            <v>390588.12</v>
          </cell>
          <cell r="K711">
            <v>117184.08</v>
          </cell>
          <cell r="L711">
            <v>0</v>
          </cell>
        </row>
        <row r="712">
          <cell r="A712">
            <v>1</v>
          </cell>
          <cell r="B712">
            <v>1</v>
          </cell>
          <cell r="C712">
            <v>999</v>
          </cell>
          <cell r="D712">
            <v>1</v>
          </cell>
          <cell r="E712" t="str">
            <v xml:space="preserve">    </v>
          </cell>
          <cell r="F712" t="str">
            <v xml:space="preserve">   </v>
          </cell>
          <cell r="G712">
            <v>1199901</v>
          </cell>
          <cell r="H712">
            <v>-627678</v>
          </cell>
          <cell r="I712">
            <v>-627678</v>
          </cell>
          <cell r="J712">
            <v>0</v>
          </cell>
          <cell r="K712">
            <v>0</v>
          </cell>
          <cell r="L712">
            <v>0</v>
          </cell>
        </row>
        <row r="713">
          <cell r="A713">
            <v>2</v>
          </cell>
          <cell r="B713">
            <v>1</v>
          </cell>
          <cell r="C713">
            <v>999</v>
          </cell>
          <cell r="D713">
            <v>1</v>
          </cell>
          <cell r="E713" t="str">
            <v xml:space="preserve">    </v>
          </cell>
          <cell r="F713" t="str">
            <v xml:space="preserve">   </v>
          </cell>
          <cell r="G713">
            <v>2199901</v>
          </cell>
          <cell r="H713">
            <v>-7187723</v>
          </cell>
          <cell r="I713">
            <v>-7187723</v>
          </cell>
          <cell r="J713">
            <v>0</v>
          </cell>
          <cell r="K713">
            <v>0</v>
          </cell>
          <cell r="L713">
            <v>0</v>
          </cell>
        </row>
        <row r="714">
          <cell r="A714">
            <v>1</v>
          </cell>
          <cell r="B714">
            <v>1</v>
          </cell>
          <cell r="C714">
            <v>999</v>
          </cell>
          <cell r="D714">
            <v>2</v>
          </cell>
          <cell r="E714" t="str">
            <v xml:space="preserve">    </v>
          </cell>
          <cell r="F714" t="str">
            <v xml:space="preserve">   </v>
          </cell>
          <cell r="G714">
            <v>1199902</v>
          </cell>
          <cell r="H714">
            <v>-64651</v>
          </cell>
          <cell r="I714">
            <v>-64651</v>
          </cell>
          <cell r="J714">
            <v>0</v>
          </cell>
          <cell r="K714">
            <v>0</v>
          </cell>
          <cell r="L714">
            <v>0</v>
          </cell>
        </row>
        <row r="715">
          <cell r="A715">
            <v>2</v>
          </cell>
          <cell r="B715">
            <v>1</v>
          </cell>
          <cell r="C715">
            <v>999</v>
          </cell>
          <cell r="D715">
            <v>2</v>
          </cell>
          <cell r="E715" t="str">
            <v xml:space="preserve">    </v>
          </cell>
          <cell r="F715" t="str">
            <v xml:space="preserve">   </v>
          </cell>
          <cell r="G715">
            <v>2199902</v>
          </cell>
          <cell r="H715">
            <v>-768924</v>
          </cell>
          <cell r="I715">
            <v>-768924</v>
          </cell>
          <cell r="J715">
            <v>0</v>
          </cell>
          <cell r="K715">
            <v>0</v>
          </cell>
          <cell r="L715">
            <v>0</v>
          </cell>
        </row>
        <row r="716">
          <cell r="A716">
            <v>1</v>
          </cell>
          <cell r="B716">
            <v>1</v>
          </cell>
          <cell r="C716">
            <v>999</v>
          </cell>
          <cell r="D716">
            <v>3</v>
          </cell>
          <cell r="E716" t="str">
            <v xml:space="preserve">    </v>
          </cell>
          <cell r="F716" t="str">
            <v xml:space="preserve">   </v>
          </cell>
          <cell r="G716">
            <v>1199903</v>
          </cell>
          <cell r="H716">
            <v>-664</v>
          </cell>
          <cell r="I716">
            <v>-664</v>
          </cell>
          <cell r="J716">
            <v>0</v>
          </cell>
          <cell r="K716">
            <v>0</v>
          </cell>
          <cell r="L716">
            <v>0</v>
          </cell>
        </row>
        <row r="717">
          <cell r="A717">
            <v>2</v>
          </cell>
          <cell r="B717">
            <v>1</v>
          </cell>
          <cell r="C717">
            <v>999</v>
          </cell>
          <cell r="D717">
            <v>3</v>
          </cell>
          <cell r="E717" t="str">
            <v xml:space="preserve">    </v>
          </cell>
          <cell r="F717" t="str">
            <v xml:space="preserve">   </v>
          </cell>
          <cell r="G717">
            <v>2199903</v>
          </cell>
          <cell r="H717">
            <v>-12270</v>
          </cell>
          <cell r="I717">
            <v>-12270</v>
          </cell>
          <cell r="J717">
            <v>0</v>
          </cell>
          <cell r="K717">
            <v>0</v>
          </cell>
          <cell r="L717">
            <v>0</v>
          </cell>
        </row>
        <row r="718">
          <cell r="A718">
            <v>1</v>
          </cell>
          <cell r="B718">
            <v>1</v>
          </cell>
          <cell r="C718">
            <v>999</v>
          </cell>
          <cell r="D718">
            <v>5</v>
          </cell>
          <cell r="E718" t="str">
            <v xml:space="preserve">    </v>
          </cell>
          <cell r="F718" t="str">
            <v xml:space="preserve">   </v>
          </cell>
          <cell r="G718">
            <v>1199905</v>
          </cell>
          <cell r="H718">
            <v>-4913</v>
          </cell>
          <cell r="I718">
            <v>-4913</v>
          </cell>
          <cell r="J718">
            <v>0</v>
          </cell>
          <cell r="K718">
            <v>0</v>
          </cell>
          <cell r="L718">
            <v>0</v>
          </cell>
        </row>
        <row r="719">
          <cell r="A719">
            <v>2</v>
          </cell>
          <cell r="B719">
            <v>1</v>
          </cell>
          <cell r="C719">
            <v>999</v>
          </cell>
          <cell r="D719">
            <v>5</v>
          </cell>
          <cell r="E719" t="str">
            <v xml:space="preserve">    </v>
          </cell>
          <cell r="F719" t="str">
            <v xml:space="preserve">   </v>
          </cell>
          <cell r="G719">
            <v>2199905</v>
          </cell>
          <cell r="H719">
            <v>-58956</v>
          </cell>
          <cell r="I719">
            <v>-58956</v>
          </cell>
          <cell r="J719">
            <v>0</v>
          </cell>
          <cell r="K719">
            <v>0</v>
          </cell>
          <cell r="L719">
            <v>0</v>
          </cell>
        </row>
        <row r="720">
          <cell r="A720">
            <v>1</v>
          </cell>
          <cell r="B720">
            <v>1</v>
          </cell>
          <cell r="C720">
            <v>999</v>
          </cell>
          <cell r="D720">
            <v>6</v>
          </cell>
          <cell r="E720" t="str">
            <v xml:space="preserve">    </v>
          </cell>
          <cell r="F720" t="str">
            <v xml:space="preserve">   </v>
          </cell>
          <cell r="G720">
            <v>1199906</v>
          </cell>
          <cell r="H720">
            <v>-558144</v>
          </cell>
          <cell r="I720">
            <v>0</v>
          </cell>
          <cell r="J720">
            <v>-558144</v>
          </cell>
          <cell r="K720">
            <v>0</v>
          </cell>
          <cell r="L720">
            <v>0</v>
          </cell>
        </row>
        <row r="721">
          <cell r="A721">
            <v>2</v>
          </cell>
          <cell r="B721">
            <v>1</v>
          </cell>
          <cell r="C721">
            <v>999</v>
          </cell>
          <cell r="D721">
            <v>6</v>
          </cell>
          <cell r="E721" t="str">
            <v xml:space="preserve">    </v>
          </cell>
          <cell r="F721" t="str">
            <v xml:space="preserve">   </v>
          </cell>
          <cell r="G721">
            <v>2199906</v>
          </cell>
          <cell r="H721">
            <v>2363507</v>
          </cell>
          <cell r="I721">
            <v>0</v>
          </cell>
          <cell r="J721">
            <v>2363507</v>
          </cell>
          <cell r="K721">
            <v>0</v>
          </cell>
          <cell r="L721">
            <v>0</v>
          </cell>
        </row>
        <row r="722">
          <cell r="A722">
            <v>1</v>
          </cell>
          <cell r="B722">
            <v>1</v>
          </cell>
          <cell r="C722">
            <v>999</v>
          </cell>
          <cell r="D722">
            <v>7</v>
          </cell>
          <cell r="E722" t="str">
            <v xml:space="preserve">    </v>
          </cell>
          <cell r="F722" t="str">
            <v xml:space="preserve">   </v>
          </cell>
          <cell r="G722">
            <v>1199907</v>
          </cell>
          <cell r="H722">
            <v>-420636</v>
          </cell>
          <cell r="I722">
            <v>0</v>
          </cell>
          <cell r="J722">
            <v>0</v>
          </cell>
          <cell r="K722">
            <v>-420636</v>
          </cell>
          <cell r="L722">
            <v>0</v>
          </cell>
        </row>
        <row r="723">
          <cell r="A723">
            <v>2</v>
          </cell>
          <cell r="B723">
            <v>1</v>
          </cell>
          <cell r="C723">
            <v>999</v>
          </cell>
          <cell r="D723">
            <v>7</v>
          </cell>
          <cell r="E723" t="str">
            <v xml:space="preserve">    </v>
          </cell>
          <cell r="F723" t="str">
            <v xml:space="preserve">   </v>
          </cell>
          <cell r="G723">
            <v>2199907</v>
          </cell>
          <cell r="H723">
            <v>557342</v>
          </cell>
          <cell r="I723">
            <v>0</v>
          </cell>
          <cell r="J723">
            <v>0</v>
          </cell>
          <cell r="K723">
            <v>557342</v>
          </cell>
          <cell r="L723">
            <v>0</v>
          </cell>
        </row>
        <row r="724">
          <cell r="A724">
            <v>1</v>
          </cell>
          <cell r="B724">
            <v>1</v>
          </cell>
          <cell r="C724">
            <v>999</v>
          </cell>
          <cell r="D724">
            <v>11</v>
          </cell>
          <cell r="E724" t="str">
            <v xml:space="preserve">    </v>
          </cell>
          <cell r="F724" t="str">
            <v xml:space="preserve">   </v>
          </cell>
          <cell r="G724">
            <v>1199911</v>
          </cell>
          <cell r="H724">
            <v>-42314</v>
          </cell>
          <cell r="I724">
            <v>-42314</v>
          </cell>
          <cell r="J724">
            <v>0</v>
          </cell>
          <cell r="K724">
            <v>0</v>
          </cell>
          <cell r="L724">
            <v>0</v>
          </cell>
        </row>
        <row r="725">
          <cell r="A725">
            <v>2</v>
          </cell>
          <cell r="B725">
            <v>1</v>
          </cell>
          <cell r="C725">
            <v>999</v>
          </cell>
          <cell r="D725">
            <v>11</v>
          </cell>
          <cell r="E725" t="str">
            <v xml:space="preserve">    </v>
          </cell>
          <cell r="F725" t="str">
            <v xml:space="preserve">   </v>
          </cell>
          <cell r="G725">
            <v>2199911</v>
          </cell>
          <cell r="H725">
            <v>-507768</v>
          </cell>
          <cell r="I725">
            <v>-507768</v>
          </cell>
          <cell r="J725">
            <v>0</v>
          </cell>
          <cell r="K725">
            <v>0</v>
          </cell>
          <cell r="L725">
            <v>0</v>
          </cell>
        </row>
        <row r="726">
          <cell r="A726">
            <v>1</v>
          </cell>
          <cell r="B726">
            <v>1</v>
          </cell>
          <cell r="C726">
            <v>999</v>
          </cell>
          <cell r="D726">
            <v>19</v>
          </cell>
          <cell r="E726" t="str">
            <v xml:space="preserve">    </v>
          </cell>
          <cell r="F726" t="str">
            <v xml:space="preserve">   </v>
          </cell>
          <cell r="G726">
            <v>1199919</v>
          </cell>
          <cell r="H726">
            <v>-25098</v>
          </cell>
          <cell r="I726">
            <v>-25098</v>
          </cell>
          <cell r="J726">
            <v>0</v>
          </cell>
          <cell r="K726">
            <v>0</v>
          </cell>
          <cell r="L726">
            <v>0</v>
          </cell>
        </row>
        <row r="727">
          <cell r="A727">
            <v>2</v>
          </cell>
          <cell r="B727">
            <v>1</v>
          </cell>
          <cell r="C727">
            <v>999</v>
          </cell>
          <cell r="D727">
            <v>19</v>
          </cell>
          <cell r="E727" t="str">
            <v xml:space="preserve">    </v>
          </cell>
          <cell r="F727" t="str">
            <v xml:space="preserve">   </v>
          </cell>
          <cell r="G727">
            <v>2199919</v>
          </cell>
          <cell r="H727">
            <v>-269969</v>
          </cell>
          <cell r="I727">
            <v>-269969</v>
          </cell>
          <cell r="J727">
            <v>0</v>
          </cell>
          <cell r="K727">
            <v>0</v>
          </cell>
          <cell r="L727">
            <v>0</v>
          </cell>
        </row>
        <row r="728">
          <cell r="A728">
            <v>1</v>
          </cell>
          <cell r="B728">
            <v>1</v>
          </cell>
          <cell r="C728">
            <v>999</v>
          </cell>
          <cell r="D728">
            <v>34</v>
          </cell>
          <cell r="E728" t="str">
            <v xml:space="preserve">    </v>
          </cell>
          <cell r="F728" t="str">
            <v xml:space="preserve">   </v>
          </cell>
          <cell r="G728">
            <v>1199934</v>
          </cell>
          <cell r="H728">
            <v>-2084</v>
          </cell>
          <cell r="I728">
            <v>0</v>
          </cell>
          <cell r="J728">
            <v>-2084</v>
          </cell>
          <cell r="K728">
            <v>0</v>
          </cell>
          <cell r="L728">
            <v>0</v>
          </cell>
        </row>
        <row r="729">
          <cell r="A729">
            <v>2</v>
          </cell>
          <cell r="B729">
            <v>1</v>
          </cell>
          <cell r="C729">
            <v>999</v>
          </cell>
          <cell r="D729">
            <v>34</v>
          </cell>
          <cell r="E729" t="str">
            <v xml:space="preserve">    </v>
          </cell>
          <cell r="F729" t="str">
            <v xml:space="preserve">   </v>
          </cell>
          <cell r="G729">
            <v>2199934</v>
          </cell>
          <cell r="H729">
            <v>-25008</v>
          </cell>
          <cell r="I729">
            <v>0</v>
          </cell>
          <cell r="J729">
            <v>-25008</v>
          </cell>
          <cell r="K729">
            <v>0</v>
          </cell>
          <cell r="L729">
            <v>0</v>
          </cell>
        </row>
        <row r="730">
          <cell r="A730">
            <v>1</v>
          </cell>
          <cell r="B730">
            <v>1</v>
          </cell>
          <cell r="C730">
            <v>999</v>
          </cell>
          <cell r="D730">
            <v>52</v>
          </cell>
          <cell r="E730" t="str">
            <v xml:space="preserve">    </v>
          </cell>
          <cell r="F730" t="str">
            <v xml:space="preserve">   </v>
          </cell>
          <cell r="G730">
            <v>1199952</v>
          </cell>
          <cell r="H730">
            <v>34</v>
          </cell>
          <cell r="I730">
            <v>34</v>
          </cell>
          <cell r="J730">
            <v>0</v>
          </cell>
          <cell r="K730">
            <v>0</v>
          </cell>
          <cell r="L730">
            <v>0</v>
          </cell>
        </row>
        <row r="731">
          <cell r="A731">
            <v>2</v>
          </cell>
          <cell r="B731">
            <v>1</v>
          </cell>
          <cell r="C731">
            <v>999</v>
          </cell>
          <cell r="D731">
            <v>52</v>
          </cell>
          <cell r="E731" t="str">
            <v xml:space="preserve">    </v>
          </cell>
          <cell r="F731" t="str">
            <v xml:space="preserve">   </v>
          </cell>
          <cell r="G731">
            <v>2199952</v>
          </cell>
          <cell r="H731">
            <v>189356</v>
          </cell>
          <cell r="I731">
            <v>189356</v>
          </cell>
          <cell r="J731">
            <v>0</v>
          </cell>
          <cell r="K731">
            <v>0</v>
          </cell>
          <cell r="L731">
            <v>0</v>
          </cell>
        </row>
        <row r="732">
          <cell r="A732">
            <v>1</v>
          </cell>
          <cell r="B732">
            <v>1</v>
          </cell>
          <cell r="C732">
            <v>999</v>
          </cell>
          <cell r="D732">
            <v>59</v>
          </cell>
          <cell r="E732" t="str">
            <v xml:space="preserve">    </v>
          </cell>
          <cell r="F732" t="str">
            <v xml:space="preserve">   </v>
          </cell>
          <cell r="G732">
            <v>1199959</v>
          </cell>
          <cell r="H732">
            <v>7781</v>
          </cell>
          <cell r="I732">
            <v>7781</v>
          </cell>
          <cell r="J732">
            <v>0</v>
          </cell>
          <cell r="K732">
            <v>0</v>
          </cell>
          <cell r="L732">
            <v>0</v>
          </cell>
        </row>
        <row r="733">
          <cell r="A733">
            <v>2</v>
          </cell>
          <cell r="B733">
            <v>1</v>
          </cell>
          <cell r="C733">
            <v>999</v>
          </cell>
          <cell r="D733">
            <v>59</v>
          </cell>
          <cell r="E733" t="str">
            <v xml:space="preserve">    </v>
          </cell>
          <cell r="F733" t="str">
            <v xml:space="preserve">   </v>
          </cell>
          <cell r="G733">
            <v>2199959</v>
          </cell>
          <cell r="H733">
            <v>102940</v>
          </cell>
          <cell r="I733">
            <v>102940</v>
          </cell>
          <cell r="J733">
            <v>0</v>
          </cell>
          <cell r="K733">
            <v>0</v>
          </cell>
          <cell r="L733">
            <v>0</v>
          </cell>
        </row>
        <row r="734">
          <cell r="A734">
            <v>1</v>
          </cell>
          <cell r="B734">
            <v>1</v>
          </cell>
          <cell r="C734">
            <v>999</v>
          </cell>
          <cell r="D734">
            <v>60</v>
          </cell>
          <cell r="E734" t="str">
            <v xml:space="preserve">    </v>
          </cell>
          <cell r="F734" t="str">
            <v xml:space="preserve">   </v>
          </cell>
          <cell r="G734">
            <v>1199960</v>
          </cell>
          <cell r="H734">
            <v>1252939</v>
          </cell>
          <cell r="I734">
            <v>1252939</v>
          </cell>
          <cell r="J734">
            <v>0</v>
          </cell>
          <cell r="K734">
            <v>0</v>
          </cell>
          <cell r="L734">
            <v>0</v>
          </cell>
        </row>
        <row r="735">
          <cell r="A735">
            <v>2</v>
          </cell>
          <cell r="B735">
            <v>1</v>
          </cell>
          <cell r="C735">
            <v>999</v>
          </cell>
          <cell r="D735">
            <v>60</v>
          </cell>
          <cell r="E735" t="str">
            <v xml:space="preserve">    </v>
          </cell>
          <cell r="F735" t="str">
            <v xml:space="preserve">   </v>
          </cell>
          <cell r="G735">
            <v>2199960</v>
          </cell>
          <cell r="H735">
            <v>13016997</v>
          </cell>
          <cell r="I735">
            <v>13016997</v>
          </cell>
          <cell r="J735">
            <v>0</v>
          </cell>
          <cell r="K735">
            <v>0</v>
          </cell>
          <cell r="L735">
            <v>0</v>
          </cell>
        </row>
        <row r="736">
          <cell r="A736">
            <v>1</v>
          </cell>
          <cell r="B736">
            <v>1</v>
          </cell>
          <cell r="C736">
            <v>999</v>
          </cell>
          <cell r="D736">
            <v>70</v>
          </cell>
          <cell r="E736" t="str">
            <v xml:space="preserve">    </v>
          </cell>
          <cell r="F736" t="str">
            <v xml:space="preserve">   </v>
          </cell>
          <cell r="G736">
            <v>1199970</v>
          </cell>
          <cell r="H736">
            <v>742931.03</v>
          </cell>
          <cell r="I736">
            <v>742931.03</v>
          </cell>
          <cell r="J736">
            <v>0</v>
          </cell>
          <cell r="K736">
            <v>0</v>
          </cell>
          <cell r="L736">
            <v>0</v>
          </cell>
        </row>
        <row r="737">
          <cell r="A737">
            <v>2</v>
          </cell>
          <cell r="B737">
            <v>1</v>
          </cell>
          <cell r="C737">
            <v>999</v>
          </cell>
          <cell r="D737">
            <v>70</v>
          </cell>
          <cell r="E737" t="str">
            <v xml:space="preserve">    </v>
          </cell>
          <cell r="F737" t="str">
            <v xml:space="preserve">   </v>
          </cell>
          <cell r="G737">
            <v>2199970</v>
          </cell>
          <cell r="H737">
            <v>8487635.7899999991</v>
          </cell>
          <cell r="I737">
            <v>8487635.7899999991</v>
          </cell>
          <cell r="J737">
            <v>0</v>
          </cell>
          <cell r="K737">
            <v>0</v>
          </cell>
          <cell r="L737">
            <v>0</v>
          </cell>
        </row>
        <row r="738">
          <cell r="A738">
            <v>1</v>
          </cell>
          <cell r="B738">
            <v>1</v>
          </cell>
          <cell r="C738">
            <v>999</v>
          </cell>
          <cell r="D738">
            <v>72</v>
          </cell>
          <cell r="E738" t="str">
            <v xml:space="preserve">    </v>
          </cell>
          <cell r="F738" t="str">
            <v xml:space="preserve">   </v>
          </cell>
          <cell r="G738">
            <v>1199972</v>
          </cell>
          <cell r="H738">
            <v>85894</v>
          </cell>
          <cell r="I738">
            <v>85894</v>
          </cell>
          <cell r="J738">
            <v>0</v>
          </cell>
          <cell r="K738">
            <v>0</v>
          </cell>
          <cell r="L738">
            <v>0</v>
          </cell>
        </row>
        <row r="739">
          <cell r="A739">
            <v>2</v>
          </cell>
          <cell r="B739">
            <v>1</v>
          </cell>
          <cell r="C739">
            <v>999</v>
          </cell>
          <cell r="D739">
            <v>72</v>
          </cell>
          <cell r="E739" t="str">
            <v xml:space="preserve">    </v>
          </cell>
          <cell r="F739" t="str">
            <v xml:space="preserve">   </v>
          </cell>
          <cell r="G739">
            <v>2199972</v>
          </cell>
          <cell r="H739">
            <v>1030728</v>
          </cell>
          <cell r="I739">
            <v>1030728</v>
          </cell>
          <cell r="J739">
            <v>0</v>
          </cell>
          <cell r="K739">
            <v>0</v>
          </cell>
          <cell r="L739">
            <v>0</v>
          </cell>
        </row>
        <row r="740">
          <cell r="A740">
            <v>1</v>
          </cell>
          <cell r="B740">
            <v>1</v>
          </cell>
          <cell r="C740">
            <v>999</v>
          </cell>
          <cell r="D740">
            <v>75</v>
          </cell>
          <cell r="E740" t="str">
            <v xml:space="preserve">    </v>
          </cell>
          <cell r="F740" t="str">
            <v xml:space="preserve">   </v>
          </cell>
          <cell r="G740">
            <v>1199975</v>
          </cell>
          <cell r="H740">
            <v>5447</v>
          </cell>
          <cell r="I740">
            <v>5447</v>
          </cell>
          <cell r="J740">
            <v>0</v>
          </cell>
          <cell r="K740">
            <v>0</v>
          </cell>
          <cell r="L740">
            <v>0</v>
          </cell>
        </row>
        <row r="741">
          <cell r="A741">
            <v>2</v>
          </cell>
          <cell r="B741">
            <v>1</v>
          </cell>
          <cell r="C741">
            <v>999</v>
          </cell>
          <cell r="D741">
            <v>75</v>
          </cell>
          <cell r="E741" t="str">
            <v xml:space="preserve">    </v>
          </cell>
          <cell r="F741" t="str">
            <v xml:space="preserve">   </v>
          </cell>
          <cell r="G741">
            <v>2199975</v>
          </cell>
          <cell r="H741">
            <v>65364</v>
          </cell>
          <cell r="I741">
            <v>65364</v>
          </cell>
          <cell r="J741">
            <v>0</v>
          </cell>
          <cell r="K741">
            <v>0</v>
          </cell>
          <cell r="L741">
            <v>0</v>
          </cell>
        </row>
        <row r="742">
          <cell r="A742">
            <v>1</v>
          </cell>
          <cell r="B742">
            <v>1</v>
          </cell>
          <cell r="C742">
            <v>999</v>
          </cell>
          <cell r="D742">
            <v>91</v>
          </cell>
          <cell r="E742" t="str">
            <v xml:space="preserve">    </v>
          </cell>
          <cell r="F742" t="str">
            <v xml:space="preserve">   </v>
          </cell>
          <cell r="G742">
            <v>1199991</v>
          </cell>
          <cell r="H742">
            <v>-145057</v>
          </cell>
          <cell r="I742">
            <v>-145057</v>
          </cell>
          <cell r="J742">
            <v>0</v>
          </cell>
          <cell r="K742">
            <v>0</v>
          </cell>
          <cell r="L742">
            <v>0</v>
          </cell>
        </row>
        <row r="743">
          <cell r="A743">
            <v>2</v>
          </cell>
          <cell r="B743">
            <v>1</v>
          </cell>
          <cell r="C743">
            <v>999</v>
          </cell>
          <cell r="D743">
            <v>91</v>
          </cell>
          <cell r="E743" t="str">
            <v xml:space="preserve">    </v>
          </cell>
          <cell r="F743" t="str">
            <v xml:space="preserve">   </v>
          </cell>
          <cell r="G743">
            <v>2199991</v>
          </cell>
          <cell r="H743">
            <v>-2793002</v>
          </cell>
          <cell r="I743">
            <v>-2793002</v>
          </cell>
          <cell r="J743">
            <v>0</v>
          </cell>
          <cell r="K743">
            <v>0</v>
          </cell>
          <cell r="L743">
            <v>0</v>
          </cell>
        </row>
        <row r="744">
          <cell r="A744">
            <v>1</v>
          </cell>
          <cell r="B744">
            <v>1</v>
          </cell>
          <cell r="C744">
            <v>999</v>
          </cell>
          <cell r="D744">
            <v>95</v>
          </cell>
          <cell r="E744" t="str">
            <v xml:space="preserve">    </v>
          </cell>
          <cell r="F744" t="str">
            <v xml:space="preserve">   </v>
          </cell>
          <cell r="G744">
            <v>1199995</v>
          </cell>
          <cell r="H744">
            <v>320168</v>
          </cell>
          <cell r="I744">
            <v>320168</v>
          </cell>
          <cell r="J744">
            <v>0</v>
          </cell>
          <cell r="K744">
            <v>0</v>
          </cell>
          <cell r="L744">
            <v>0</v>
          </cell>
        </row>
        <row r="745">
          <cell r="A745">
            <v>2</v>
          </cell>
          <cell r="B745">
            <v>1</v>
          </cell>
          <cell r="C745">
            <v>999</v>
          </cell>
          <cell r="D745">
            <v>95</v>
          </cell>
          <cell r="E745" t="str">
            <v xml:space="preserve">    </v>
          </cell>
          <cell r="F745" t="str">
            <v xml:space="preserve">   </v>
          </cell>
          <cell r="G745">
            <v>2199995</v>
          </cell>
          <cell r="H745">
            <v>871653</v>
          </cell>
          <cell r="I745">
            <v>871653</v>
          </cell>
          <cell r="J745">
            <v>0</v>
          </cell>
          <cell r="K745">
            <v>0</v>
          </cell>
          <cell r="L745">
            <v>0</v>
          </cell>
        </row>
        <row r="746">
          <cell r="A746">
            <v>1</v>
          </cell>
          <cell r="B746">
            <v>2</v>
          </cell>
          <cell r="C746">
            <v>403</v>
          </cell>
          <cell r="D746">
            <v>20</v>
          </cell>
          <cell r="E746" t="str">
            <v xml:space="preserve">    </v>
          </cell>
          <cell r="F746" t="str">
            <v xml:space="preserve">   </v>
          </cell>
          <cell r="G746">
            <v>1240320</v>
          </cell>
          <cell r="H746">
            <v>351</v>
          </cell>
          <cell r="I746">
            <v>0</v>
          </cell>
          <cell r="J746">
            <v>351</v>
          </cell>
          <cell r="K746">
            <v>0</v>
          </cell>
          <cell r="L746">
            <v>0</v>
          </cell>
        </row>
        <row r="747">
          <cell r="A747">
            <v>2</v>
          </cell>
          <cell r="B747">
            <v>2</v>
          </cell>
          <cell r="C747">
            <v>403</v>
          </cell>
          <cell r="D747">
            <v>20</v>
          </cell>
          <cell r="E747" t="str">
            <v xml:space="preserve">    </v>
          </cell>
          <cell r="F747" t="str">
            <v xml:space="preserve">   </v>
          </cell>
          <cell r="G747">
            <v>2240320</v>
          </cell>
          <cell r="H747">
            <v>4232</v>
          </cell>
          <cell r="I747">
            <v>0</v>
          </cell>
          <cell r="J747">
            <v>4232</v>
          </cell>
          <cell r="K747">
            <v>0</v>
          </cell>
          <cell r="L747">
            <v>0</v>
          </cell>
        </row>
        <row r="748">
          <cell r="A748">
            <v>1</v>
          </cell>
          <cell r="B748">
            <v>2</v>
          </cell>
          <cell r="C748">
            <v>403</v>
          </cell>
          <cell r="D748">
            <v>40</v>
          </cell>
          <cell r="E748" t="str">
            <v xml:space="preserve">    </v>
          </cell>
          <cell r="F748" t="str">
            <v xml:space="preserve">   </v>
          </cell>
          <cell r="G748">
            <v>1240340</v>
          </cell>
          <cell r="H748">
            <v>7476</v>
          </cell>
          <cell r="I748">
            <v>0</v>
          </cell>
          <cell r="J748">
            <v>7476</v>
          </cell>
          <cell r="K748">
            <v>0</v>
          </cell>
          <cell r="L748">
            <v>0</v>
          </cell>
        </row>
        <row r="749">
          <cell r="A749">
            <v>2</v>
          </cell>
          <cell r="B749">
            <v>2</v>
          </cell>
          <cell r="C749">
            <v>403</v>
          </cell>
          <cell r="D749">
            <v>40</v>
          </cell>
          <cell r="E749" t="str">
            <v xml:space="preserve">    </v>
          </cell>
          <cell r="F749" t="str">
            <v xml:space="preserve">   </v>
          </cell>
          <cell r="G749">
            <v>2240340</v>
          </cell>
          <cell r="H749">
            <v>77842</v>
          </cell>
          <cell r="I749">
            <v>0</v>
          </cell>
          <cell r="J749">
            <v>77842</v>
          </cell>
          <cell r="K749">
            <v>0</v>
          </cell>
          <cell r="L749">
            <v>0</v>
          </cell>
        </row>
        <row r="750">
          <cell r="A750">
            <v>1</v>
          </cell>
          <cell r="B750">
            <v>2</v>
          </cell>
          <cell r="C750">
            <v>403</v>
          </cell>
          <cell r="D750">
            <v>50</v>
          </cell>
          <cell r="E750" t="str">
            <v xml:space="preserve">    </v>
          </cell>
          <cell r="F750" t="str">
            <v xml:space="preserve">   </v>
          </cell>
          <cell r="G750">
            <v>1240350</v>
          </cell>
          <cell r="H750">
            <v>388952</v>
          </cell>
          <cell r="I750">
            <v>0</v>
          </cell>
          <cell r="J750">
            <v>338126</v>
          </cell>
          <cell r="K750">
            <v>50826</v>
          </cell>
          <cell r="L750">
            <v>0</v>
          </cell>
        </row>
        <row r="751">
          <cell r="A751">
            <v>2</v>
          </cell>
          <cell r="B751">
            <v>2</v>
          </cell>
          <cell r="C751">
            <v>403</v>
          </cell>
          <cell r="D751">
            <v>50</v>
          </cell>
          <cell r="E751" t="str">
            <v xml:space="preserve">    </v>
          </cell>
          <cell r="F751" t="str">
            <v xml:space="preserve">   </v>
          </cell>
          <cell r="G751">
            <v>2240350</v>
          </cell>
          <cell r="H751">
            <v>4445468</v>
          </cell>
          <cell r="I751">
            <v>0</v>
          </cell>
          <cell r="J751">
            <v>3799565</v>
          </cell>
          <cell r="K751">
            <v>645903</v>
          </cell>
          <cell r="L751">
            <v>0</v>
          </cell>
        </row>
        <row r="752">
          <cell r="A752">
            <v>1</v>
          </cell>
          <cell r="B752">
            <v>2</v>
          </cell>
          <cell r="C752">
            <v>403</v>
          </cell>
          <cell r="D752">
            <v>60</v>
          </cell>
          <cell r="E752" t="str">
            <v xml:space="preserve">    </v>
          </cell>
          <cell r="F752" t="str">
            <v xml:space="preserve">   </v>
          </cell>
          <cell r="G752">
            <v>1240360</v>
          </cell>
          <cell r="H752">
            <v>26894.59</v>
          </cell>
          <cell r="I752">
            <v>22847.59</v>
          </cell>
          <cell r="J752">
            <v>2861</v>
          </cell>
          <cell r="K752">
            <v>1186</v>
          </cell>
          <cell r="L752">
            <v>0</v>
          </cell>
        </row>
        <row r="753">
          <cell r="A753">
            <v>2</v>
          </cell>
          <cell r="B753">
            <v>2</v>
          </cell>
          <cell r="C753">
            <v>403</v>
          </cell>
          <cell r="D753">
            <v>60</v>
          </cell>
          <cell r="E753" t="str">
            <v xml:space="preserve">    </v>
          </cell>
          <cell r="F753" t="str">
            <v xml:space="preserve">   </v>
          </cell>
          <cell r="G753">
            <v>2240360</v>
          </cell>
          <cell r="H753">
            <v>338324.32</v>
          </cell>
          <cell r="I753">
            <v>285488.32</v>
          </cell>
          <cell r="J753">
            <v>35126</v>
          </cell>
          <cell r="K753">
            <v>17710</v>
          </cell>
          <cell r="L753">
            <v>0</v>
          </cell>
        </row>
        <row r="754">
          <cell r="A754">
            <v>1</v>
          </cell>
          <cell r="B754">
            <v>2</v>
          </cell>
          <cell r="C754">
            <v>404</v>
          </cell>
          <cell r="D754">
            <v>30</v>
          </cell>
          <cell r="E754" t="str">
            <v xml:space="preserve">    </v>
          </cell>
          <cell r="F754" t="str">
            <v xml:space="preserve">   </v>
          </cell>
          <cell r="G754">
            <v>1240430</v>
          </cell>
          <cell r="H754">
            <v>-2417.2600000000002</v>
          </cell>
          <cell r="I754">
            <v>-2417.2600000000002</v>
          </cell>
          <cell r="J754">
            <v>0</v>
          </cell>
          <cell r="K754">
            <v>0</v>
          </cell>
          <cell r="L754">
            <v>0</v>
          </cell>
        </row>
        <row r="755">
          <cell r="A755">
            <v>2</v>
          </cell>
          <cell r="B755">
            <v>2</v>
          </cell>
          <cell r="C755">
            <v>404</v>
          </cell>
          <cell r="D755">
            <v>30</v>
          </cell>
          <cell r="E755" t="str">
            <v xml:space="preserve">    </v>
          </cell>
          <cell r="F755" t="str">
            <v xml:space="preserve">   </v>
          </cell>
          <cell r="G755">
            <v>2240430</v>
          </cell>
          <cell r="H755">
            <v>70680.97</v>
          </cell>
          <cell r="I755">
            <v>70680.97</v>
          </cell>
          <cell r="J755">
            <v>0</v>
          </cell>
          <cell r="K755">
            <v>0</v>
          </cell>
          <cell r="L755">
            <v>0</v>
          </cell>
        </row>
        <row r="756">
          <cell r="A756">
            <v>1</v>
          </cell>
          <cell r="B756">
            <v>2</v>
          </cell>
          <cell r="C756">
            <v>404</v>
          </cell>
          <cell r="D756">
            <v>60</v>
          </cell>
          <cell r="E756" t="str">
            <v xml:space="preserve">    </v>
          </cell>
          <cell r="F756" t="str">
            <v xml:space="preserve">   </v>
          </cell>
          <cell r="G756">
            <v>1240460</v>
          </cell>
          <cell r="H756">
            <v>6146.72</v>
          </cell>
          <cell r="I756">
            <v>6146.72</v>
          </cell>
          <cell r="J756">
            <v>0</v>
          </cell>
          <cell r="K756">
            <v>0</v>
          </cell>
          <cell r="L756">
            <v>0</v>
          </cell>
        </row>
        <row r="757">
          <cell r="A757">
            <v>2</v>
          </cell>
          <cell r="B757">
            <v>2</v>
          </cell>
          <cell r="C757">
            <v>404</v>
          </cell>
          <cell r="D757">
            <v>60</v>
          </cell>
          <cell r="E757" t="str">
            <v xml:space="preserve">    </v>
          </cell>
          <cell r="F757" t="str">
            <v xml:space="preserve">   </v>
          </cell>
          <cell r="G757">
            <v>2240460</v>
          </cell>
          <cell r="H757">
            <v>51285.279999999999</v>
          </cell>
          <cell r="I757">
            <v>51285.279999999999</v>
          </cell>
          <cell r="J757">
            <v>0</v>
          </cell>
          <cell r="K757">
            <v>0</v>
          </cell>
          <cell r="L757">
            <v>0</v>
          </cell>
        </row>
        <row r="758">
          <cell r="A758">
            <v>1</v>
          </cell>
          <cell r="B758">
            <v>2</v>
          </cell>
          <cell r="C758">
            <v>408</v>
          </cell>
          <cell r="D758">
            <v>11</v>
          </cell>
          <cell r="E758" t="str">
            <v xml:space="preserve">    </v>
          </cell>
          <cell r="F758" t="str">
            <v xml:space="preserve">   </v>
          </cell>
          <cell r="G758">
            <v>1240811</v>
          </cell>
          <cell r="H758">
            <v>0</v>
          </cell>
          <cell r="I758">
            <v>0</v>
          </cell>
          <cell r="J758">
            <v>0</v>
          </cell>
          <cell r="K758">
            <v>0</v>
          </cell>
          <cell r="L758">
            <v>0</v>
          </cell>
        </row>
        <row r="759">
          <cell r="A759">
            <v>2</v>
          </cell>
          <cell r="B759">
            <v>2</v>
          </cell>
          <cell r="C759">
            <v>408</v>
          </cell>
          <cell r="D759">
            <v>11</v>
          </cell>
          <cell r="E759" t="str">
            <v xml:space="preserve">    </v>
          </cell>
          <cell r="F759" t="str">
            <v xml:space="preserve">   </v>
          </cell>
          <cell r="G759">
            <v>2240811</v>
          </cell>
          <cell r="H759">
            <v>1874</v>
          </cell>
          <cell r="I759">
            <v>0</v>
          </cell>
          <cell r="J759">
            <v>0</v>
          </cell>
          <cell r="K759">
            <v>1874</v>
          </cell>
          <cell r="L759">
            <v>0</v>
          </cell>
        </row>
        <row r="760">
          <cell r="A760">
            <v>1</v>
          </cell>
          <cell r="B760">
            <v>2</v>
          </cell>
          <cell r="C760">
            <v>408</v>
          </cell>
          <cell r="D760">
            <v>12</v>
          </cell>
          <cell r="E760" t="str">
            <v xml:space="preserve">    </v>
          </cell>
          <cell r="F760" t="str">
            <v xml:space="preserve">   </v>
          </cell>
          <cell r="G760">
            <v>1240812</v>
          </cell>
          <cell r="H760">
            <v>153471.82999999999</v>
          </cell>
          <cell r="I760">
            <v>0</v>
          </cell>
          <cell r="J760">
            <v>123600.02</v>
          </cell>
          <cell r="K760">
            <v>29871.81</v>
          </cell>
          <cell r="L760">
            <v>0</v>
          </cell>
        </row>
        <row r="761">
          <cell r="A761">
            <v>2</v>
          </cell>
          <cell r="B761">
            <v>2</v>
          </cell>
          <cell r="C761">
            <v>408</v>
          </cell>
          <cell r="D761">
            <v>12</v>
          </cell>
          <cell r="E761" t="str">
            <v xml:space="preserve">    </v>
          </cell>
          <cell r="F761" t="str">
            <v xml:space="preserve">   </v>
          </cell>
          <cell r="G761">
            <v>2240812</v>
          </cell>
          <cell r="H761">
            <v>1194716.6399999999</v>
          </cell>
          <cell r="I761">
            <v>0</v>
          </cell>
          <cell r="J761">
            <v>933851.49</v>
          </cell>
          <cell r="K761">
            <v>260865.15</v>
          </cell>
          <cell r="L761">
            <v>0</v>
          </cell>
        </row>
        <row r="762">
          <cell r="A762">
            <v>1</v>
          </cell>
          <cell r="B762">
            <v>2</v>
          </cell>
          <cell r="C762">
            <v>408</v>
          </cell>
          <cell r="D762">
            <v>15</v>
          </cell>
          <cell r="E762" t="str">
            <v xml:space="preserve">    </v>
          </cell>
          <cell r="F762" t="str">
            <v xml:space="preserve">   </v>
          </cell>
          <cell r="G762">
            <v>1240815</v>
          </cell>
          <cell r="H762">
            <v>95981</v>
          </cell>
          <cell r="I762">
            <v>0</v>
          </cell>
          <cell r="J762">
            <v>85869</v>
          </cell>
          <cell r="K762">
            <v>10112</v>
          </cell>
          <cell r="L762">
            <v>0</v>
          </cell>
        </row>
        <row r="763">
          <cell r="A763">
            <v>2</v>
          </cell>
          <cell r="B763">
            <v>2</v>
          </cell>
          <cell r="C763">
            <v>408</v>
          </cell>
          <cell r="D763">
            <v>15</v>
          </cell>
          <cell r="E763" t="str">
            <v xml:space="preserve">    </v>
          </cell>
          <cell r="F763" t="str">
            <v xml:space="preserve">   </v>
          </cell>
          <cell r="G763">
            <v>2240815</v>
          </cell>
          <cell r="H763">
            <v>883177.06</v>
          </cell>
          <cell r="I763">
            <v>0</v>
          </cell>
          <cell r="J763">
            <v>740199.75</v>
          </cell>
          <cell r="K763">
            <v>142977.31</v>
          </cell>
          <cell r="L763">
            <v>0</v>
          </cell>
        </row>
        <row r="764">
          <cell r="A764">
            <v>1</v>
          </cell>
          <cell r="B764">
            <v>2</v>
          </cell>
          <cell r="C764">
            <v>409</v>
          </cell>
          <cell r="D764">
            <v>11</v>
          </cell>
          <cell r="E764" t="str">
            <v xml:space="preserve">    </v>
          </cell>
          <cell r="F764" t="str">
            <v xml:space="preserve">   </v>
          </cell>
          <cell r="G764">
            <v>1240911</v>
          </cell>
          <cell r="H764">
            <v>826831</v>
          </cell>
          <cell r="I764">
            <v>826831</v>
          </cell>
          <cell r="J764">
            <v>0</v>
          </cell>
          <cell r="K764">
            <v>0</v>
          </cell>
          <cell r="L764">
            <v>0</v>
          </cell>
        </row>
        <row r="765">
          <cell r="A765">
            <v>2</v>
          </cell>
          <cell r="B765">
            <v>2</v>
          </cell>
          <cell r="C765">
            <v>409</v>
          </cell>
          <cell r="D765">
            <v>11</v>
          </cell>
          <cell r="E765" t="str">
            <v xml:space="preserve">    </v>
          </cell>
          <cell r="F765" t="str">
            <v xml:space="preserve">   </v>
          </cell>
          <cell r="G765">
            <v>2240911</v>
          </cell>
          <cell r="H765">
            <v>4147497</v>
          </cell>
          <cell r="I765">
            <v>4147497</v>
          </cell>
          <cell r="J765">
            <v>0</v>
          </cell>
          <cell r="K765">
            <v>0</v>
          </cell>
          <cell r="L765">
            <v>0</v>
          </cell>
        </row>
        <row r="766">
          <cell r="A766">
            <v>1</v>
          </cell>
          <cell r="B766">
            <v>2</v>
          </cell>
          <cell r="C766">
            <v>409</v>
          </cell>
          <cell r="D766">
            <v>16</v>
          </cell>
          <cell r="E766" t="str">
            <v xml:space="preserve">    </v>
          </cell>
          <cell r="F766" t="str">
            <v xml:space="preserve">   </v>
          </cell>
          <cell r="G766">
            <v>1240916</v>
          </cell>
          <cell r="H766">
            <v>17641</v>
          </cell>
          <cell r="I766">
            <v>0</v>
          </cell>
          <cell r="J766">
            <v>17641</v>
          </cell>
          <cell r="K766">
            <v>0</v>
          </cell>
          <cell r="L766">
            <v>0</v>
          </cell>
        </row>
        <row r="767">
          <cell r="A767">
            <v>2</v>
          </cell>
          <cell r="B767">
            <v>2</v>
          </cell>
          <cell r="C767">
            <v>409</v>
          </cell>
          <cell r="D767">
            <v>16</v>
          </cell>
          <cell r="E767" t="str">
            <v xml:space="preserve">    </v>
          </cell>
          <cell r="F767" t="str">
            <v xml:space="preserve">   </v>
          </cell>
          <cell r="G767">
            <v>2240916</v>
          </cell>
          <cell r="H767">
            <v>259529</v>
          </cell>
          <cell r="I767">
            <v>0</v>
          </cell>
          <cell r="J767">
            <v>259529</v>
          </cell>
          <cell r="K767">
            <v>0</v>
          </cell>
          <cell r="L767">
            <v>0</v>
          </cell>
        </row>
        <row r="768">
          <cell r="A768">
            <v>1</v>
          </cell>
          <cell r="B768">
            <v>2</v>
          </cell>
          <cell r="C768">
            <v>409</v>
          </cell>
          <cell r="D768">
            <v>17</v>
          </cell>
          <cell r="E768" t="str">
            <v xml:space="preserve">    </v>
          </cell>
          <cell r="F768" t="str">
            <v xml:space="preserve">   </v>
          </cell>
          <cell r="G768">
            <v>1240917</v>
          </cell>
          <cell r="H768">
            <v>5245</v>
          </cell>
          <cell r="I768">
            <v>0</v>
          </cell>
          <cell r="J768">
            <v>0</v>
          </cell>
          <cell r="K768">
            <v>5245</v>
          </cell>
          <cell r="L768">
            <v>0</v>
          </cell>
        </row>
        <row r="769">
          <cell r="A769">
            <v>2</v>
          </cell>
          <cell r="B769">
            <v>2</v>
          </cell>
          <cell r="C769">
            <v>409</v>
          </cell>
          <cell r="D769">
            <v>17</v>
          </cell>
          <cell r="E769" t="str">
            <v xml:space="preserve">    </v>
          </cell>
          <cell r="F769" t="str">
            <v xml:space="preserve">   </v>
          </cell>
          <cell r="G769">
            <v>2240917</v>
          </cell>
          <cell r="H769">
            <v>77156</v>
          </cell>
          <cell r="I769">
            <v>0</v>
          </cell>
          <cell r="J769">
            <v>0</v>
          </cell>
          <cell r="K769">
            <v>77156</v>
          </cell>
          <cell r="L769">
            <v>0</v>
          </cell>
        </row>
        <row r="770">
          <cell r="A770">
            <v>1</v>
          </cell>
          <cell r="B770">
            <v>2</v>
          </cell>
          <cell r="C770">
            <v>410</v>
          </cell>
          <cell r="D770">
            <v>10</v>
          </cell>
          <cell r="E770" t="str">
            <v xml:space="preserve">    </v>
          </cell>
          <cell r="F770" t="str">
            <v xml:space="preserve">   </v>
          </cell>
          <cell r="G770">
            <v>1241010</v>
          </cell>
          <cell r="H770">
            <v>190992.79</v>
          </cell>
          <cell r="I770">
            <v>110281.79</v>
          </cell>
          <cell r="J770">
            <v>80711</v>
          </cell>
          <cell r="K770">
            <v>0</v>
          </cell>
          <cell r="L770">
            <v>0</v>
          </cell>
        </row>
        <row r="771">
          <cell r="A771">
            <v>2</v>
          </cell>
          <cell r="B771">
            <v>2</v>
          </cell>
          <cell r="C771">
            <v>410</v>
          </cell>
          <cell r="D771">
            <v>10</v>
          </cell>
          <cell r="E771" t="str">
            <v xml:space="preserve">    </v>
          </cell>
          <cell r="F771" t="str">
            <v xml:space="preserve">   </v>
          </cell>
          <cell r="G771">
            <v>2241010</v>
          </cell>
          <cell r="H771">
            <v>1733137.55</v>
          </cell>
          <cell r="I771">
            <v>1445259.58</v>
          </cell>
          <cell r="J771">
            <v>287877.96999999997</v>
          </cell>
          <cell r="K771">
            <v>0</v>
          </cell>
          <cell r="L771">
            <v>0</v>
          </cell>
        </row>
        <row r="772">
          <cell r="A772">
            <v>1</v>
          </cell>
          <cell r="B772">
            <v>2</v>
          </cell>
          <cell r="C772">
            <v>410</v>
          </cell>
          <cell r="D772">
            <v>14</v>
          </cell>
          <cell r="E772" t="str">
            <v xml:space="preserve">    </v>
          </cell>
          <cell r="F772" t="str">
            <v xml:space="preserve">   </v>
          </cell>
          <cell r="G772">
            <v>1241014</v>
          </cell>
          <cell r="H772">
            <v>1991.84</v>
          </cell>
          <cell r="I772">
            <v>1991.84</v>
          </cell>
          <cell r="J772">
            <v>0</v>
          </cell>
          <cell r="K772">
            <v>0</v>
          </cell>
          <cell r="L772">
            <v>0</v>
          </cell>
        </row>
        <row r="773">
          <cell r="A773">
            <v>2</v>
          </cell>
          <cell r="B773">
            <v>2</v>
          </cell>
          <cell r="C773">
            <v>410</v>
          </cell>
          <cell r="D773">
            <v>14</v>
          </cell>
          <cell r="E773" t="str">
            <v xml:space="preserve">    </v>
          </cell>
          <cell r="F773" t="str">
            <v xml:space="preserve">   </v>
          </cell>
          <cell r="G773">
            <v>2241014</v>
          </cell>
          <cell r="H773">
            <v>55577.48</v>
          </cell>
          <cell r="I773">
            <v>55577.48</v>
          </cell>
          <cell r="J773">
            <v>0</v>
          </cell>
          <cell r="K773">
            <v>0</v>
          </cell>
          <cell r="L773">
            <v>0</v>
          </cell>
        </row>
        <row r="774">
          <cell r="A774">
            <v>1</v>
          </cell>
          <cell r="B774">
            <v>2</v>
          </cell>
          <cell r="C774">
            <v>411</v>
          </cell>
          <cell r="D774">
            <v>10</v>
          </cell>
          <cell r="E774" t="str">
            <v xml:space="preserve">    </v>
          </cell>
          <cell r="F774" t="str">
            <v xml:space="preserve">   </v>
          </cell>
          <cell r="G774">
            <v>1241110</v>
          </cell>
          <cell r="H774">
            <v>-290919.07</v>
          </cell>
          <cell r="I774">
            <v>-25404.07</v>
          </cell>
          <cell r="J774">
            <v>-265515</v>
          </cell>
          <cell r="K774">
            <v>0</v>
          </cell>
          <cell r="L774">
            <v>0</v>
          </cell>
        </row>
        <row r="775">
          <cell r="A775">
            <v>2</v>
          </cell>
          <cell r="B775">
            <v>2</v>
          </cell>
          <cell r="C775">
            <v>411</v>
          </cell>
          <cell r="D775">
            <v>10</v>
          </cell>
          <cell r="E775" t="str">
            <v xml:space="preserve">    </v>
          </cell>
          <cell r="F775" t="str">
            <v xml:space="preserve">   </v>
          </cell>
          <cell r="G775">
            <v>2241110</v>
          </cell>
          <cell r="H775">
            <v>-1477164.91</v>
          </cell>
          <cell r="I775">
            <v>-152826.09</v>
          </cell>
          <cell r="J775">
            <v>-1324338.82</v>
          </cell>
          <cell r="K775">
            <v>0</v>
          </cell>
          <cell r="L775">
            <v>0</v>
          </cell>
        </row>
        <row r="776">
          <cell r="A776">
            <v>1</v>
          </cell>
          <cell r="B776">
            <v>2</v>
          </cell>
          <cell r="C776">
            <v>488</v>
          </cell>
          <cell r="D776">
            <v>88</v>
          </cell>
          <cell r="E776" t="str">
            <v xml:space="preserve">    </v>
          </cell>
          <cell r="F776" t="str">
            <v xml:space="preserve">   </v>
          </cell>
          <cell r="G776">
            <v>1248888</v>
          </cell>
          <cell r="H776">
            <v>-13960</v>
          </cell>
          <cell r="I776">
            <v>0</v>
          </cell>
          <cell r="J776">
            <v>-2885</v>
          </cell>
          <cell r="K776">
            <v>-11075</v>
          </cell>
          <cell r="L776">
            <v>0</v>
          </cell>
        </row>
        <row r="777">
          <cell r="A777">
            <v>2</v>
          </cell>
          <cell r="B777">
            <v>2</v>
          </cell>
          <cell r="C777">
            <v>488</v>
          </cell>
          <cell r="D777">
            <v>88</v>
          </cell>
          <cell r="E777" t="str">
            <v xml:space="preserve">    </v>
          </cell>
          <cell r="F777" t="str">
            <v xml:space="preserve">   </v>
          </cell>
          <cell r="G777">
            <v>2248888</v>
          </cell>
          <cell r="H777">
            <v>-169337.5</v>
          </cell>
          <cell r="I777">
            <v>0</v>
          </cell>
          <cell r="J777">
            <v>-37285</v>
          </cell>
          <cell r="K777">
            <v>-132052.5</v>
          </cell>
          <cell r="L777">
            <v>0</v>
          </cell>
        </row>
        <row r="778">
          <cell r="A778">
            <v>1</v>
          </cell>
          <cell r="B778">
            <v>2</v>
          </cell>
          <cell r="C778">
            <v>489</v>
          </cell>
          <cell r="D778">
            <v>91</v>
          </cell>
          <cell r="E778" t="str">
            <v xml:space="preserve">    </v>
          </cell>
          <cell r="F778" t="str">
            <v xml:space="preserve">   </v>
          </cell>
          <cell r="G778">
            <v>1248991</v>
          </cell>
          <cell r="H778">
            <v>-430990.52</v>
          </cell>
          <cell r="I778">
            <v>0</v>
          </cell>
          <cell r="J778">
            <v>-430990.52</v>
          </cell>
          <cell r="K778">
            <v>0</v>
          </cell>
          <cell r="L778">
            <v>0</v>
          </cell>
        </row>
        <row r="779">
          <cell r="A779">
            <v>2</v>
          </cell>
          <cell r="B779">
            <v>2</v>
          </cell>
          <cell r="C779">
            <v>489</v>
          </cell>
          <cell r="D779">
            <v>91</v>
          </cell>
          <cell r="E779" t="str">
            <v xml:space="preserve">    </v>
          </cell>
          <cell r="F779" t="str">
            <v xml:space="preserve">   </v>
          </cell>
          <cell r="G779">
            <v>2248991</v>
          </cell>
          <cell r="H779">
            <v>-4883095.1100000003</v>
          </cell>
          <cell r="I779">
            <v>0</v>
          </cell>
          <cell r="J779">
            <v>-4883095.1100000003</v>
          </cell>
          <cell r="K779">
            <v>0</v>
          </cell>
          <cell r="L779">
            <v>0</v>
          </cell>
        </row>
        <row r="780">
          <cell r="A780">
            <v>1</v>
          </cell>
          <cell r="B780">
            <v>2</v>
          </cell>
          <cell r="C780">
            <v>489</v>
          </cell>
          <cell r="D780">
            <v>92</v>
          </cell>
          <cell r="E780" t="str">
            <v xml:space="preserve">    </v>
          </cell>
          <cell r="F780" t="str">
            <v xml:space="preserve">   </v>
          </cell>
          <cell r="G780">
            <v>1248992</v>
          </cell>
          <cell r="H780">
            <v>-11354.34</v>
          </cell>
          <cell r="I780">
            <v>0</v>
          </cell>
          <cell r="J780">
            <v>0</v>
          </cell>
          <cell r="K780">
            <v>-11354.34</v>
          </cell>
          <cell r="L780">
            <v>0</v>
          </cell>
        </row>
        <row r="781">
          <cell r="A781">
            <v>2</v>
          </cell>
          <cell r="B781">
            <v>2</v>
          </cell>
          <cell r="C781">
            <v>489</v>
          </cell>
          <cell r="D781">
            <v>92</v>
          </cell>
          <cell r="E781" t="str">
            <v xml:space="preserve">    </v>
          </cell>
          <cell r="F781" t="str">
            <v xml:space="preserve">   </v>
          </cell>
          <cell r="G781">
            <v>2248992</v>
          </cell>
          <cell r="H781">
            <v>-127287.62</v>
          </cell>
          <cell r="I781">
            <v>0</v>
          </cell>
          <cell r="J781">
            <v>0</v>
          </cell>
          <cell r="K781">
            <v>-127287.62</v>
          </cell>
          <cell r="L781">
            <v>0</v>
          </cell>
        </row>
        <row r="782">
          <cell r="A782">
            <v>1</v>
          </cell>
          <cell r="B782">
            <v>2</v>
          </cell>
          <cell r="C782">
            <v>495</v>
          </cell>
          <cell r="D782">
            <v>60</v>
          </cell>
          <cell r="E782" t="str">
            <v xml:space="preserve">    </v>
          </cell>
          <cell r="F782" t="str">
            <v xml:space="preserve">   </v>
          </cell>
          <cell r="G782">
            <v>1249560</v>
          </cell>
          <cell r="H782">
            <v>10563.17</v>
          </cell>
          <cell r="I782">
            <v>0</v>
          </cell>
          <cell r="J782">
            <v>10563.17</v>
          </cell>
          <cell r="K782">
            <v>0</v>
          </cell>
          <cell r="L782">
            <v>0</v>
          </cell>
        </row>
        <row r="783">
          <cell r="A783">
            <v>2</v>
          </cell>
          <cell r="B783">
            <v>2</v>
          </cell>
          <cell r="C783">
            <v>495</v>
          </cell>
          <cell r="D783">
            <v>60</v>
          </cell>
          <cell r="E783" t="str">
            <v xml:space="preserve">    </v>
          </cell>
          <cell r="F783" t="str">
            <v xml:space="preserve">   </v>
          </cell>
          <cell r="G783">
            <v>2249560</v>
          </cell>
          <cell r="H783">
            <v>123755.11</v>
          </cell>
          <cell r="I783">
            <v>0</v>
          </cell>
          <cell r="J783">
            <v>123755.11</v>
          </cell>
          <cell r="K783">
            <v>0</v>
          </cell>
          <cell r="L783">
            <v>0</v>
          </cell>
        </row>
        <row r="784">
          <cell r="A784">
            <v>1</v>
          </cell>
          <cell r="B784">
            <v>2</v>
          </cell>
          <cell r="C784">
            <v>495</v>
          </cell>
          <cell r="D784">
            <v>68</v>
          </cell>
          <cell r="E784" t="str">
            <v xml:space="preserve">    </v>
          </cell>
          <cell r="F784" t="str">
            <v xml:space="preserve">   </v>
          </cell>
          <cell r="G784">
            <v>1249568</v>
          </cell>
          <cell r="H784">
            <v>23795.34</v>
          </cell>
          <cell r="I784">
            <v>0</v>
          </cell>
          <cell r="J784">
            <v>23795.34</v>
          </cell>
          <cell r="K784">
            <v>0</v>
          </cell>
          <cell r="L784">
            <v>0</v>
          </cell>
        </row>
        <row r="785">
          <cell r="A785">
            <v>2</v>
          </cell>
          <cell r="B785">
            <v>2</v>
          </cell>
          <cell r="C785">
            <v>495</v>
          </cell>
          <cell r="D785">
            <v>68</v>
          </cell>
          <cell r="E785" t="str">
            <v xml:space="preserve">    </v>
          </cell>
          <cell r="F785" t="str">
            <v xml:space="preserve">   </v>
          </cell>
          <cell r="G785">
            <v>2249568</v>
          </cell>
          <cell r="H785">
            <v>266361.73</v>
          </cell>
          <cell r="I785">
            <v>0</v>
          </cell>
          <cell r="J785">
            <v>266361.73</v>
          </cell>
          <cell r="K785">
            <v>0</v>
          </cell>
          <cell r="L785">
            <v>0</v>
          </cell>
        </row>
        <row r="786">
          <cell r="A786">
            <v>1</v>
          </cell>
          <cell r="B786">
            <v>2</v>
          </cell>
          <cell r="C786">
            <v>804</v>
          </cell>
          <cell r="D786">
            <v>5</v>
          </cell>
          <cell r="E786" t="str">
            <v xml:space="preserve">    </v>
          </cell>
          <cell r="F786" t="str">
            <v xml:space="preserve">   </v>
          </cell>
          <cell r="G786">
            <v>1280405</v>
          </cell>
          <cell r="H786">
            <v>102735.45</v>
          </cell>
          <cell r="I786">
            <v>0</v>
          </cell>
          <cell r="J786">
            <v>43735.45</v>
          </cell>
          <cell r="K786">
            <v>59000</v>
          </cell>
          <cell r="L786">
            <v>0</v>
          </cell>
        </row>
        <row r="787">
          <cell r="A787">
            <v>2</v>
          </cell>
          <cell r="B787">
            <v>2</v>
          </cell>
          <cell r="C787">
            <v>804</v>
          </cell>
          <cell r="D787">
            <v>5</v>
          </cell>
          <cell r="E787" t="str">
            <v xml:space="preserve">    </v>
          </cell>
          <cell r="F787" t="str">
            <v xml:space="preserve">   </v>
          </cell>
          <cell r="G787">
            <v>2280405</v>
          </cell>
          <cell r="H787">
            <v>1245079.3899999999</v>
          </cell>
          <cell r="I787">
            <v>0</v>
          </cell>
          <cell r="J787">
            <v>536221.99</v>
          </cell>
          <cell r="K787">
            <v>708857.4</v>
          </cell>
          <cell r="L787">
            <v>0</v>
          </cell>
        </row>
        <row r="788">
          <cell r="A788">
            <v>1</v>
          </cell>
          <cell r="B788">
            <v>2</v>
          </cell>
          <cell r="C788">
            <v>804</v>
          </cell>
          <cell r="D788">
            <v>6</v>
          </cell>
          <cell r="E788" t="str">
            <v xml:space="preserve">    </v>
          </cell>
          <cell r="F788" t="str">
            <v xml:space="preserve">   </v>
          </cell>
          <cell r="G788">
            <v>1280406</v>
          </cell>
          <cell r="H788">
            <v>915984.4</v>
          </cell>
          <cell r="I788">
            <v>0</v>
          </cell>
          <cell r="J788">
            <v>641887.65</v>
          </cell>
          <cell r="K788">
            <v>274096.75</v>
          </cell>
          <cell r="L788">
            <v>0</v>
          </cell>
        </row>
        <row r="789">
          <cell r="A789">
            <v>2</v>
          </cell>
          <cell r="B789">
            <v>2</v>
          </cell>
          <cell r="C789">
            <v>804</v>
          </cell>
          <cell r="D789">
            <v>6</v>
          </cell>
          <cell r="E789" t="str">
            <v xml:space="preserve">    </v>
          </cell>
          <cell r="F789" t="str">
            <v xml:space="preserve">   </v>
          </cell>
          <cell r="G789">
            <v>2280406</v>
          </cell>
          <cell r="H789">
            <v>14443527.49</v>
          </cell>
          <cell r="I789">
            <v>0</v>
          </cell>
          <cell r="J789">
            <v>11770285.039999999</v>
          </cell>
          <cell r="K789">
            <v>2673242.4500000002</v>
          </cell>
          <cell r="L789">
            <v>0</v>
          </cell>
        </row>
        <row r="790">
          <cell r="A790">
            <v>1</v>
          </cell>
          <cell r="B790">
            <v>2</v>
          </cell>
          <cell r="C790">
            <v>804</v>
          </cell>
          <cell r="D790">
            <v>7</v>
          </cell>
          <cell r="E790" t="str">
            <v xml:space="preserve">    </v>
          </cell>
          <cell r="F790" t="str">
            <v xml:space="preserve">   </v>
          </cell>
          <cell r="G790">
            <v>1280407</v>
          </cell>
          <cell r="H790">
            <v>-377069.46</v>
          </cell>
          <cell r="I790">
            <v>0</v>
          </cell>
          <cell r="J790">
            <v>-378211.57</v>
          </cell>
          <cell r="K790">
            <v>1142.1099999999999</v>
          </cell>
          <cell r="L790">
            <v>0</v>
          </cell>
        </row>
        <row r="791">
          <cell r="A791">
            <v>2</v>
          </cell>
          <cell r="B791">
            <v>2</v>
          </cell>
          <cell r="C791">
            <v>804</v>
          </cell>
          <cell r="D791">
            <v>7</v>
          </cell>
          <cell r="E791" t="str">
            <v xml:space="preserve">    </v>
          </cell>
          <cell r="F791" t="str">
            <v xml:space="preserve">   </v>
          </cell>
          <cell r="G791">
            <v>2280407</v>
          </cell>
          <cell r="H791">
            <v>-3990997.61</v>
          </cell>
          <cell r="I791">
            <v>0</v>
          </cell>
          <cell r="J791">
            <v>-3904094.98</v>
          </cell>
          <cell r="K791">
            <v>-86902.63</v>
          </cell>
          <cell r="L791">
            <v>0</v>
          </cell>
        </row>
        <row r="792">
          <cell r="A792">
            <v>1</v>
          </cell>
          <cell r="B792">
            <v>2</v>
          </cell>
          <cell r="C792">
            <v>804</v>
          </cell>
          <cell r="D792">
            <v>15</v>
          </cell>
          <cell r="E792" t="str">
            <v xml:space="preserve">    </v>
          </cell>
          <cell r="F792" t="str">
            <v xml:space="preserve">   </v>
          </cell>
          <cell r="G792">
            <v>1280415</v>
          </cell>
          <cell r="H792">
            <v>72858.27</v>
          </cell>
          <cell r="I792">
            <v>0</v>
          </cell>
          <cell r="J792">
            <v>57361.03</v>
          </cell>
          <cell r="K792">
            <v>15497.24</v>
          </cell>
          <cell r="L792">
            <v>0</v>
          </cell>
        </row>
        <row r="793">
          <cell r="A793">
            <v>2</v>
          </cell>
          <cell r="B793">
            <v>2</v>
          </cell>
          <cell r="C793">
            <v>804</v>
          </cell>
          <cell r="D793">
            <v>15</v>
          </cell>
          <cell r="E793" t="str">
            <v xml:space="preserve">    </v>
          </cell>
          <cell r="F793" t="str">
            <v xml:space="preserve">   </v>
          </cell>
          <cell r="G793">
            <v>2280415</v>
          </cell>
          <cell r="H793">
            <v>415651.7</v>
          </cell>
          <cell r="I793">
            <v>0</v>
          </cell>
          <cell r="J793">
            <v>313535.87</v>
          </cell>
          <cell r="K793">
            <v>102115.83</v>
          </cell>
          <cell r="L793">
            <v>0</v>
          </cell>
        </row>
        <row r="794">
          <cell r="A794">
            <v>1</v>
          </cell>
          <cell r="B794">
            <v>2</v>
          </cell>
          <cell r="C794">
            <v>804</v>
          </cell>
          <cell r="D794">
            <v>25</v>
          </cell>
          <cell r="E794" t="str">
            <v xml:space="preserve">    </v>
          </cell>
          <cell r="F794" t="str">
            <v xml:space="preserve">   </v>
          </cell>
          <cell r="G794">
            <v>1280425</v>
          </cell>
          <cell r="H794">
            <v>0</v>
          </cell>
          <cell r="I794">
            <v>0</v>
          </cell>
          <cell r="J794">
            <v>0</v>
          </cell>
          <cell r="K794">
            <v>0</v>
          </cell>
          <cell r="L794">
            <v>0</v>
          </cell>
        </row>
        <row r="795">
          <cell r="A795">
            <v>2</v>
          </cell>
          <cell r="B795">
            <v>2</v>
          </cell>
          <cell r="C795">
            <v>804</v>
          </cell>
          <cell r="D795">
            <v>25</v>
          </cell>
          <cell r="E795" t="str">
            <v xml:space="preserve">    </v>
          </cell>
          <cell r="F795" t="str">
            <v xml:space="preserve">   </v>
          </cell>
          <cell r="G795">
            <v>2280425</v>
          </cell>
          <cell r="H795">
            <v>-624453.43000000005</v>
          </cell>
          <cell r="I795">
            <v>0</v>
          </cell>
          <cell r="J795">
            <v>-514550.18</v>
          </cell>
          <cell r="K795">
            <v>-109903.25</v>
          </cell>
          <cell r="L795">
            <v>0</v>
          </cell>
        </row>
        <row r="796">
          <cell r="A796">
            <v>1</v>
          </cell>
          <cell r="B796">
            <v>2</v>
          </cell>
          <cell r="C796">
            <v>804</v>
          </cell>
          <cell r="D796">
            <v>45</v>
          </cell>
          <cell r="E796" t="str">
            <v xml:space="preserve">    </v>
          </cell>
          <cell r="F796" t="str">
            <v xml:space="preserve">   </v>
          </cell>
          <cell r="G796">
            <v>1280445</v>
          </cell>
          <cell r="H796">
            <v>-42141</v>
          </cell>
          <cell r="I796">
            <v>0</v>
          </cell>
          <cell r="J796">
            <v>-18994</v>
          </cell>
          <cell r="K796">
            <v>-23147</v>
          </cell>
          <cell r="L796">
            <v>0</v>
          </cell>
        </row>
        <row r="797">
          <cell r="A797">
            <v>2</v>
          </cell>
          <cell r="B797">
            <v>2</v>
          </cell>
          <cell r="C797">
            <v>804</v>
          </cell>
          <cell r="D797">
            <v>45</v>
          </cell>
          <cell r="E797" t="str">
            <v xml:space="preserve">    </v>
          </cell>
          <cell r="F797" t="str">
            <v xml:space="preserve">   </v>
          </cell>
          <cell r="G797">
            <v>2280445</v>
          </cell>
          <cell r="H797">
            <v>156234</v>
          </cell>
          <cell r="I797">
            <v>0</v>
          </cell>
          <cell r="J797">
            <v>204116</v>
          </cell>
          <cell r="K797">
            <v>-47882</v>
          </cell>
          <cell r="L797">
            <v>0</v>
          </cell>
        </row>
        <row r="798">
          <cell r="A798">
            <v>1</v>
          </cell>
          <cell r="B798">
            <v>2</v>
          </cell>
          <cell r="C798">
            <v>804</v>
          </cell>
          <cell r="D798">
            <v>51</v>
          </cell>
          <cell r="E798" t="str">
            <v xml:space="preserve">    </v>
          </cell>
          <cell r="F798" t="str">
            <v xml:space="preserve">   </v>
          </cell>
          <cell r="G798">
            <v>1280451</v>
          </cell>
          <cell r="H798">
            <v>1802191.85</v>
          </cell>
          <cell r="I798">
            <v>0</v>
          </cell>
          <cell r="J798">
            <v>1783367.7</v>
          </cell>
          <cell r="K798">
            <v>18824.150000000001</v>
          </cell>
          <cell r="L798">
            <v>0</v>
          </cell>
        </row>
        <row r="799">
          <cell r="A799">
            <v>2</v>
          </cell>
          <cell r="B799">
            <v>2</v>
          </cell>
          <cell r="C799">
            <v>804</v>
          </cell>
          <cell r="D799">
            <v>51</v>
          </cell>
          <cell r="E799" t="str">
            <v xml:space="preserve">    </v>
          </cell>
          <cell r="F799" t="str">
            <v xml:space="preserve">   </v>
          </cell>
          <cell r="G799">
            <v>2280451</v>
          </cell>
          <cell r="H799">
            <v>7626817.3099999996</v>
          </cell>
          <cell r="I799">
            <v>0</v>
          </cell>
          <cell r="J799">
            <v>7505743.4000000004</v>
          </cell>
          <cell r="K799">
            <v>121073.91</v>
          </cell>
          <cell r="L799">
            <v>0</v>
          </cell>
        </row>
        <row r="800">
          <cell r="A800">
            <v>1</v>
          </cell>
          <cell r="B800">
            <v>2</v>
          </cell>
          <cell r="C800">
            <v>804</v>
          </cell>
          <cell r="D800">
            <v>52</v>
          </cell>
          <cell r="E800" t="str">
            <v xml:space="preserve">    </v>
          </cell>
          <cell r="F800" t="str">
            <v xml:space="preserve">   </v>
          </cell>
          <cell r="G800">
            <v>1280452</v>
          </cell>
          <cell r="H800">
            <v>1021834.91</v>
          </cell>
          <cell r="I800">
            <v>0</v>
          </cell>
          <cell r="J800">
            <v>598900.21</v>
          </cell>
          <cell r="K800">
            <v>422934.7</v>
          </cell>
          <cell r="L800">
            <v>0</v>
          </cell>
        </row>
        <row r="801">
          <cell r="A801">
            <v>2</v>
          </cell>
          <cell r="B801">
            <v>2</v>
          </cell>
          <cell r="C801">
            <v>804</v>
          </cell>
          <cell r="D801">
            <v>52</v>
          </cell>
          <cell r="E801" t="str">
            <v xml:space="preserve">    </v>
          </cell>
          <cell r="F801" t="str">
            <v xml:space="preserve">   </v>
          </cell>
          <cell r="G801">
            <v>2280452</v>
          </cell>
          <cell r="H801">
            <v>6546960.7300000004</v>
          </cell>
          <cell r="I801">
            <v>0</v>
          </cell>
          <cell r="J801">
            <v>3398130.74</v>
          </cell>
          <cell r="K801">
            <v>3148829.99</v>
          </cell>
          <cell r="L801">
            <v>0</v>
          </cell>
        </row>
        <row r="802">
          <cell r="A802">
            <v>1</v>
          </cell>
          <cell r="B802">
            <v>2</v>
          </cell>
          <cell r="C802">
            <v>804</v>
          </cell>
          <cell r="D802">
            <v>53</v>
          </cell>
          <cell r="E802" t="str">
            <v xml:space="preserve">    </v>
          </cell>
          <cell r="F802" t="str">
            <v xml:space="preserve">   </v>
          </cell>
          <cell r="G802">
            <v>1280453</v>
          </cell>
          <cell r="H802">
            <v>436861.72</v>
          </cell>
          <cell r="I802">
            <v>0</v>
          </cell>
          <cell r="J802">
            <v>306794.71999999997</v>
          </cell>
          <cell r="K802">
            <v>130067</v>
          </cell>
          <cell r="L802">
            <v>0</v>
          </cell>
        </row>
        <row r="803">
          <cell r="A803">
            <v>2</v>
          </cell>
          <cell r="B803">
            <v>2</v>
          </cell>
          <cell r="C803">
            <v>804</v>
          </cell>
          <cell r="D803">
            <v>53</v>
          </cell>
          <cell r="E803" t="str">
            <v xml:space="preserve">    </v>
          </cell>
          <cell r="F803" t="str">
            <v xml:space="preserve">   </v>
          </cell>
          <cell r="G803">
            <v>2280453</v>
          </cell>
          <cell r="H803">
            <v>2310320.7599999998</v>
          </cell>
          <cell r="I803">
            <v>0</v>
          </cell>
          <cell r="J803">
            <v>1349133.12</v>
          </cell>
          <cell r="K803">
            <v>961187.64</v>
          </cell>
          <cell r="L803">
            <v>0</v>
          </cell>
        </row>
        <row r="804">
          <cell r="A804">
            <v>1</v>
          </cell>
          <cell r="B804">
            <v>2</v>
          </cell>
          <cell r="C804">
            <v>804</v>
          </cell>
          <cell r="D804">
            <v>54</v>
          </cell>
          <cell r="E804" t="str">
            <v xml:space="preserve">    </v>
          </cell>
          <cell r="F804" t="str">
            <v xml:space="preserve">   </v>
          </cell>
          <cell r="G804">
            <v>1280454</v>
          </cell>
          <cell r="H804">
            <v>0</v>
          </cell>
          <cell r="I804">
            <v>0</v>
          </cell>
          <cell r="J804">
            <v>0</v>
          </cell>
          <cell r="K804">
            <v>0</v>
          </cell>
          <cell r="L804">
            <v>0</v>
          </cell>
        </row>
        <row r="805">
          <cell r="A805">
            <v>2</v>
          </cell>
          <cell r="B805">
            <v>2</v>
          </cell>
          <cell r="C805">
            <v>804</v>
          </cell>
          <cell r="D805">
            <v>54</v>
          </cell>
          <cell r="E805" t="str">
            <v xml:space="preserve">    </v>
          </cell>
          <cell r="F805" t="str">
            <v xml:space="preserve">   </v>
          </cell>
          <cell r="G805">
            <v>2280454</v>
          </cell>
          <cell r="H805">
            <v>471272.71</v>
          </cell>
          <cell r="I805">
            <v>0</v>
          </cell>
          <cell r="J805">
            <v>472511.71</v>
          </cell>
          <cell r="K805">
            <v>-1239</v>
          </cell>
          <cell r="L805">
            <v>0</v>
          </cell>
        </row>
        <row r="806">
          <cell r="A806">
            <v>1</v>
          </cell>
          <cell r="B806">
            <v>2</v>
          </cell>
          <cell r="C806">
            <v>804</v>
          </cell>
          <cell r="D806">
            <v>55</v>
          </cell>
          <cell r="E806" t="str">
            <v xml:space="preserve">    </v>
          </cell>
          <cell r="F806" t="str">
            <v xml:space="preserve">   </v>
          </cell>
          <cell r="G806">
            <v>1280455</v>
          </cell>
          <cell r="H806">
            <v>0</v>
          </cell>
          <cell r="I806">
            <v>0</v>
          </cell>
          <cell r="J806">
            <v>0</v>
          </cell>
          <cell r="K806">
            <v>0</v>
          </cell>
          <cell r="L806">
            <v>0</v>
          </cell>
        </row>
        <row r="807">
          <cell r="A807">
            <v>2</v>
          </cell>
          <cell r="B807">
            <v>2</v>
          </cell>
          <cell r="C807">
            <v>804</v>
          </cell>
          <cell r="D807">
            <v>55</v>
          </cell>
          <cell r="E807" t="str">
            <v xml:space="preserve">    </v>
          </cell>
          <cell r="F807" t="str">
            <v xml:space="preserve">   </v>
          </cell>
          <cell r="G807">
            <v>2280455</v>
          </cell>
          <cell r="H807">
            <v>-151.91</v>
          </cell>
          <cell r="I807">
            <v>0</v>
          </cell>
          <cell r="J807">
            <v>-151.91</v>
          </cell>
          <cell r="K807">
            <v>0</v>
          </cell>
          <cell r="L807">
            <v>0</v>
          </cell>
        </row>
        <row r="808">
          <cell r="A808">
            <v>1</v>
          </cell>
          <cell r="B808">
            <v>2</v>
          </cell>
          <cell r="C808">
            <v>804</v>
          </cell>
          <cell r="D808">
            <v>70</v>
          </cell>
          <cell r="E808" t="str">
            <v xml:space="preserve">    </v>
          </cell>
          <cell r="F808" t="str">
            <v xml:space="preserve">   </v>
          </cell>
          <cell r="G808">
            <v>1280470</v>
          </cell>
          <cell r="H808">
            <v>580640.1</v>
          </cell>
          <cell r="I808">
            <v>0</v>
          </cell>
          <cell r="J808">
            <v>580640.1</v>
          </cell>
          <cell r="K808">
            <v>0</v>
          </cell>
          <cell r="L808">
            <v>0</v>
          </cell>
        </row>
        <row r="809">
          <cell r="A809">
            <v>2</v>
          </cell>
          <cell r="B809">
            <v>2</v>
          </cell>
          <cell r="C809">
            <v>804</v>
          </cell>
          <cell r="D809">
            <v>70</v>
          </cell>
          <cell r="E809" t="str">
            <v xml:space="preserve">    </v>
          </cell>
          <cell r="F809" t="str">
            <v xml:space="preserve">   </v>
          </cell>
          <cell r="G809">
            <v>2280470</v>
          </cell>
          <cell r="H809">
            <v>8532712.75</v>
          </cell>
          <cell r="I809">
            <v>0</v>
          </cell>
          <cell r="J809">
            <v>7805774.5300000003</v>
          </cell>
          <cell r="K809">
            <v>726938.22</v>
          </cell>
          <cell r="L809">
            <v>0</v>
          </cell>
        </row>
        <row r="810">
          <cell r="A810">
            <v>1</v>
          </cell>
          <cell r="B810">
            <v>2</v>
          </cell>
          <cell r="C810">
            <v>804</v>
          </cell>
          <cell r="D810">
            <v>75</v>
          </cell>
          <cell r="E810" t="str">
            <v xml:space="preserve">    </v>
          </cell>
          <cell r="F810" t="str">
            <v xml:space="preserve">   </v>
          </cell>
          <cell r="G810">
            <v>1280475</v>
          </cell>
          <cell r="H810">
            <v>0</v>
          </cell>
          <cell r="I810">
            <v>0</v>
          </cell>
          <cell r="J810">
            <v>0</v>
          </cell>
          <cell r="K810">
            <v>0</v>
          </cell>
          <cell r="L810">
            <v>0</v>
          </cell>
        </row>
        <row r="811">
          <cell r="A811">
            <v>2</v>
          </cell>
          <cell r="B811">
            <v>2</v>
          </cell>
          <cell r="C811">
            <v>804</v>
          </cell>
          <cell r="D811">
            <v>75</v>
          </cell>
          <cell r="E811" t="str">
            <v xml:space="preserve">    </v>
          </cell>
          <cell r="F811" t="str">
            <v xml:space="preserve">   </v>
          </cell>
          <cell r="G811">
            <v>2280475</v>
          </cell>
          <cell r="H811">
            <v>246858.27</v>
          </cell>
          <cell r="I811">
            <v>0</v>
          </cell>
          <cell r="J811">
            <v>207831.54</v>
          </cell>
          <cell r="K811">
            <v>39026.730000000003</v>
          </cell>
          <cell r="L811">
            <v>0</v>
          </cell>
        </row>
        <row r="812">
          <cell r="A812">
            <v>1</v>
          </cell>
          <cell r="B812">
            <v>2</v>
          </cell>
          <cell r="C812">
            <v>805</v>
          </cell>
          <cell r="D812">
            <v>11</v>
          </cell>
          <cell r="E812" t="str">
            <v xml:space="preserve">    </v>
          </cell>
          <cell r="F812" t="str">
            <v xml:space="preserve">   </v>
          </cell>
          <cell r="G812">
            <v>1280511</v>
          </cell>
          <cell r="H812">
            <v>-58633.57</v>
          </cell>
          <cell r="I812">
            <v>0</v>
          </cell>
          <cell r="J812">
            <v>-58633.57</v>
          </cell>
          <cell r="K812">
            <v>0</v>
          </cell>
          <cell r="L812">
            <v>0</v>
          </cell>
        </row>
        <row r="813">
          <cell r="A813">
            <v>2</v>
          </cell>
          <cell r="B813">
            <v>2</v>
          </cell>
          <cell r="C813">
            <v>805</v>
          </cell>
          <cell r="D813">
            <v>11</v>
          </cell>
          <cell r="E813" t="str">
            <v xml:space="preserve">    </v>
          </cell>
          <cell r="F813" t="str">
            <v xml:space="preserve">   </v>
          </cell>
          <cell r="G813">
            <v>2280511</v>
          </cell>
          <cell r="H813">
            <v>-743104.51</v>
          </cell>
          <cell r="I813">
            <v>0</v>
          </cell>
          <cell r="J813">
            <v>-743104.51</v>
          </cell>
          <cell r="K813">
            <v>0</v>
          </cell>
          <cell r="L813">
            <v>0</v>
          </cell>
        </row>
        <row r="814">
          <cell r="A814">
            <v>1</v>
          </cell>
          <cell r="B814">
            <v>2</v>
          </cell>
          <cell r="C814">
            <v>805</v>
          </cell>
          <cell r="D814">
            <v>12</v>
          </cell>
          <cell r="E814" t="str">
            <v xml:space="preserve">    </v>
          </cell>
          <cell r="F814" t="str">
            <v xml:space="preserve">   </v>
          </cell>
          <cell r="G814">
            <v>1280512</v>
          </cell>
          <cell r="H814">
            <v>744129.16</v>
          </cell>
          <cell r="I814">
            <v>0</v>
          </cell>
          <cell r="J814">
            <v>744129.16</v>
          </cell>
          <cell r="K814">
            <v>0</v>
          </cell>
          <cell r="L814">
            <v>0</v>
          </cell>
        </row>
        <row r="815">
          <cell r="A815">
            <v>2</v>
          </cell>
          <cell r="B815">
            <v>2</v>
          </cell>
          <cell r="C815">
            <v>805</v>
          </cell>
          <cell r="D815">
            <v>12</v>
          </cell>
          <cell r="E815" t="str">
            <v xml:space="preserve">    </v>
          </cell>
          <cell r="F815" t="str">
            <v xml:space="preserve">   </v>
          </cell>
          <cell r="G815">
            <v>2280512</v>
          </cell>
          <cell r="H815">
            <v>3258729.18</v>
          </cell>
          <cell r="I815">
            <v>0</v>
          </cell>
          <cell r="J815">
            <v>3258729.18</v>
          </cell>
          <cell r="K815">
            <v>0</v>
          </cell>
          <cell r="L815">
            <v>0</v>
          </cell>
        </row>
        <row r="816">
          <cell r="A816">
            <v>1</v>
          </cell>
          <cell r="B816">
            <v>2</v>
          </cell>
          <cell r="C816">
            <v>805</v>
          </cell>
          <cell r="D816">
            <v>27</v>
          </cell>
          <cell r="E816" t="str">
            <v xml:space="preserve">    </v>
          </cell>
          <cell r="F816" t="str">
            <v xml:space="preserve">   </v>
          </cell>
          <cell r="G816">
            <v>1280527</v>
          </cell>
          <cell r="H816">
            <v>16618.8</v>
          </cell>
          <cell r="I816">
            <v>0</v>
          </cell>
          <cell r="J816">
            <v>16618.8</v>
          </cell>
          <cell r="K816">
            <v>0</v>
          </cell>
          <cell r="L816">
            <v>0</v>
          </cell>
        </row>
        <row r="817">
          <cell r="A817">
            <v>2</v>
          </cell>
          <cell r="B817">
            <v>2</v>
          </cell>
          <cell r="C817">
            <v>805</v>
          </cell>
          <cell r="D817">
            <v>27</v>
          </cell>
          <cell r="E817" t="str">
            <v xml:space="preserve">    </v>
          </cell>
          <cell r="F817" t="str">
            <v xml:space="preserve">   </v>
          </cell>
          <cell r="G817">
            <v>2280527</v>
          </cell>
          <cell r="H817">
            <v>109779.47</v>
          </cell>
          <cell r="I817">
            <v>0</v>
          </cell>
          <cell r="J817">
            <v>109779.47</v>
          </cell>
          <cell r="K817">
            <v>0</v>
          </cell>
          <cell r="L817">
            <v>0</v>
          </cell>
        </row>
        <row r="818">
          <cell r="A818">
            <v>1</v>
          </cell>
          <cell r="B818">
            <v>2</v>
          </cell>
          <cell r="C818">
            <v>805</v>
          </cell>
          <cell r="D818">
            <v>30</v>
          </cell>
          <cell r="E818" t="str">
            <v xml:space="preserve">    </v>
          </cell>
          <cell r="F818" t="str">
            <v xml:space="preserve">   </v>
          </cell>
          <cell r="G818">
            <v>1280530</v>
          </cell>
          <cell r="H818">
            <v>2607.23</v>
          </cell>
          <cell r="I818">
            <v>0</v>
          </cell>
          <cell r="J818">
            <v>2607.23</v>
          </cell>
          <cell r="K818">
            <v>0</v>
          </cell>
          <cell r="L818">
            <v>0</v>
          </cell>
        </row>
        <row r="819">
          <cell r="A819">
            <v>2</v>
          </cell>
          <cell r="B819">
            <v>2</v>
          </cell>
          <cell r="C819">
            <v>805</v>
          </cell>
          <cell r="D819">
            <v>30</v>
          </cell>
          <cell r="E819" t="str">
            <v xml:space="preserve">    </v>
          </cell>
          <cell r="F819" t="str">
            <v xml:space="preserve">   </v>
          </cell>
          <cell r="G819">
            <v>2280530</v>
          </cell>
          <cell r="H819">
            <v>8501.4</v>
          </cell>
          <cell r="I819">
            <v>0</v>
          </cell>
          <cell r="J819">
            <v>8501.4</v>
          </cell>
          <cell r="K819">
            <v>0</v>
          </cell>
          <cell r="L819">
            <v>0</v>
          </cell>
        </row>
        <row r="820">
          <cell r="A820">
            <v>1</v>
          </cell>
          <cell r="B820">
            <v>2</v>
          </cell>
          <cell r="C820">
            <v>805</v>
          </cell>
          <cell r="D820">
            <v>99</v>
          </cell>
          <cell r="E820" t="str">
            <v xml:space="preserve">    </v>
          </cell>
          <cell r="F820" t="str">
            <v xml:space="preserve">   </v>
          </cell>
          <cell r="G820">
            <v>1280599</v>
          </cell>
          <cell r="H820">
            <v>-220087</v>
          </cell>
          <cell r="I820">
            <v>0</v>
          </cell>
          <cell r="J820">
            <v>-220087</v>
          </cell>
          <cell r="K820">
            <v>0</v>
          </cell>
          <cell r="L820">
            <v>0</v>
          </cell>
        </row>
        <row r="821">
          <cell r="A821">
            <v>2</v>
          </cell>
          <cell r="B821">
            <v>2</v>
          </cell>
          <cell r="C821">
            <v>805</v>
          </cell>
          <cell r="D821">
            <v>99</v>
          </cell>
          <cell r="E821" t="str">
            <v xml:space="preserve">    </v>
          </cell>
          <cell r="F821" t="str">
            <v xml:space="preserve">   </v>
          </cell>
          <cell r="G821">
            <v>2280599</v>
          </cell>
          <cell r="H821">
            <v>-499308.84</v>
          </cell>
          <cell r="I821">
            <v>0</v>
          </cell>
          <cell r="J821">
            <v>-499308.84</v>
          </cell>
          <cell r="K821">
            <v>0</v>
          </cell>
          <cell r="L821">
            <v>0</v>
          </cell>
        </row>
        <row r="822">
          <cell r="A822">
            <v>1</v>
          </cell>
          <cell r="B822">
            <v>2</v>
          </cell>
          <cell r="C822">
            <v>807</v>
          </cell>
          <cell r="D822">
            <v>40</v>
          </cell>
          <cell r="E822" t="str">
            <v xml:space="preserve">    </v>
          </cell>
          <cell r="F822" t="str">
            <v xml:space="preserve">   </v>
          </cell>
          <cell r="G822">
            <v>1280740</v>
          </cell>
          <cell r="H822">
            <v>8514.43</v>
          </cell>
          <cell r="I822">
            <v>8514.43</v>
          </cell>
          <cell r="J822">
            <v>0</v>
          </cell>
          <cell r="K822">
            <v>0</v>
          </cell>
          <cell r="L822">
            <v>0</v>
          </cell>
        </row>
        <row r="823">
          <cell r="A823">
            <v>2</v>
          </cell>
          <cell r="B823">
            <v>2</v>
          </cell>
          <cell r="C823">
            <v>807</v>
          </cell>
          <cell r="D823">
            <v>40</v>
          </cell>
          <cell r="E823" t="str">
            <v xml:space="preserve">    </v>
          </cell>
          <cell r="F823" t="str">
            <v xml:space="preserve">   </v>
          </cell>
          <cell r="G823">
            <v>2280740</v>
          </cell>
          <cell r="H823">
            <v>76021.52</v>
          </cell>
          <cell r="I823">
            <v>76021.52</v>
          </cell>
          <cell r="J823">
            <v>0</v>
          </cell>
          <cell r="K823">
            <v>0</v>
          </cell>
          <cell r="L823">
            <v>0</v>
          </cell>
        </row>
        <row r="824">
          <cell r="A824">
            <v>1</v>
          </cell>
          <cell r="B824">
            <v>2</v>
          </cell>
          <cell r="C824">
            <v>808</v>
          </cell>
          <cell r="D824">
            <v>10</v>
          </cell>
          <cell r="E824" t="str">
            <v xml:space="preserve">    </v>
          </cell>
          <cell r="F824" t="str">
            <v xml:space="preserve">   </v>
          </cell>
          <cell r="G824">
            <v>1280810</v>
          </cell>
          <cell r="H824">
            <v>43984.57</v>
          </cell>
          <cell r="I824">
            <v>0</v>
          </cell>
          <cell r="J824">
            <v>43984.57</v>
          </cell>
          <cell r="K824">
            <v>0</v>
          </cell>
          <cell r="L824">
            <v>0</v>
          </cell>
        </row>
        <row r="825">
          <cell r="A825">
            <v>2</v>
          </cell>
          <cell r="B825">
            <v>2</v>
          </cell>
          <cell r="C825">
            <v>808</v>
          </cell>
          <cell r="D825">
            <v>10</v>
          </cell>
          <cell r="E825" t="str">
            <v xml:space="preserve">    </v>
          </cell>
          <cell r="F825" t="str">
            <v xml:space="preserve">   </v>
          </cell>
          <cell r="G825">
            <v>2280810</v>
          </cell>
          <cell r="H825">
            <v>147652.06</v>
          </cell>
          <cell r="I825">
            <v>0</v>
          </cell>
          <cell r="J825">
            <v>147652.06</v>
          </cell>
          <cell r="K825">
            <v>0</v>
          </cell>
          <cell r="L825">
            <v>0</v>
          </cell>
        </row>
        <row r="826">
          <cell r="A826">
            <v>1</v>
          </cell>
          <cell r="B826">
            <v>2</v>
          </cell>
          <cell r="C826">
            <v>808</v>
          </cell>
          <cell r="D826">
            <v>20</v>
          </cell>
          <cell r="E826" t="str">
            <v xml:space="preserve">    </v>
          </cell>
          <cell r="F826" t="str">
            <v xml:space="preserve">   </v>
          </cell>
          <cell r="G826">
            <v>1280820</v>
          </cell>
          <cell r="H826">
            <v>-1834.7</v>
          </cell>
          <cell r="I826">
            <v>0</v>
          </cell>
          <cell r="J826">
            <v>-1834.7</v>
          </cell>
          <cell r="K826">
            <v>0</v>
          </cell>
          <cell r="L826">
            <v>0</v>
          </cell>
        </row>
        <row r="827">
          <cell r="A827">
            <v>2</v>
          </cell>
          <cell r="B827">
            <v>2</v>
          </cell>
          <cell r="C827">
            <v>808</v>
          </cell>
          <cell r="D827">
            <v>20</v>
          </cell>
          <cell r="E827" t="str">
            <v xml:space="preserve">    </v>
          </cell>
          <cell r="F827" t="str">
            <v xml:space="preserve">   </v>
          </cell>
          <cell r="G827">
            <v>2280820</v>
          </cell>
          <cell r="H827">
            <v>-118473.82</v>
          </cell>
          <cell r="I827">
            <v>0</v>
          </cell>
          <cell r="J827">
            <v>-118473.82</v>
          </cell>
          <cell r="K827">
            <v>0</v>
          </cell>
          <cell r="L827">
            <v>0</v>
          </cell>
        </row>
        <row r="828">
          <cell r="A828">
            <v>1</v>
          </cell>
          <cell r="B828">
            <v>2</v>
          </cell>
          <cell r="C828">
            <v>808</v>
          </cell>
          <cell r="D828">
            <v>32</v>
          </cell>
          <cell r="E828" t="str">
            <v xml:space="preserve">    </v>
          </cell>
          <cell r="F828" t="str">
            <v xml:space="preserve">   </v>
          </cell>
          <cell r="G828">
            <v>1280832</v>
          </cell>
          <cell r="H828">
            <v>0</v>
          </cell>
          <cell r="I828">
            <v>0</v>
          </cell>
          <cell r="J828">
            <v>0</v>
          </cell>
          <cell r="K828">
            <v>0</v>
          </cell>
          <cell r="L828">
            <v>0</v>
          </cell>
        </row>
        <row r="829">
          <cell r="A829">
            <v>2</v>
          </cell>
          <cell r="B829">
            <v>2</v>
          </cell>
          <cell r="C829">
            <v>808</v>
          </cell>
          <cell r="D829">
            <v>32</v>
          </cell>
          <cell r="E829" t="str">
            <v xml:space="preserve">    </v>
          </cell>
          <cell r="F829" t="str">
            <v xml:space="preserve">   </v>
          </cell>
          <cell r="G829">
            <v>2280832</v>
          </cell>
          <cell r="H829">
            <v>-227161.33</v>
          </cell>
          <cell r="I829">
            <v>0</v>
          </cell>
          <cell r="J829">
            <v>-52627.53</v>
          </cell>
          <cell r="K829">
            <v>-174533.8</v>
          </cell>
          <cell r="L829">
            <v>0</v>
          </cell>
        </row>
        <row r="830">
          <cell r="A830">
            <v>1</v>
          </cell>
          <cell r="B830">
            <v>2</v>
          </cell>
          <cell r="C830">
            <v>808</v>
          </cell>
          <cell r="D830">
            <v>33</v>
          </cell>
          <cell r="E830" t="str">
            <v xml:space="preserve">    </v>
          </cell>
          <cell r="F830" t="str">
            <v xml:space="preserve">   </v>
          </cell>
          <cell r="G830">
            <v>1280833</v>
          </cell>
          <cell r="H830">
            <v>271856.74</v>
          </cell>
          <cell r="I830">
            <v>0</v>
          </cell>
          <cell r="J830">
            <v>166418.23999999999</v>
          </cell>
          <cell r="K830">
            <v>105438.5</v>
          </cell>
          <cell r="L830">
            <v>0</v>
          </cell>
        </row>
        <row r="831">
          <cell r="A831">
            <v>2</v>
          </cell>
          <cell r="B831">
            <v>2</v>
          </cell>
          <cell r="C831">
            <v>808</v>
          </cell>
          <cell r="D831">
            <v>33</v>
          </cell>
          <cell r="E831" t="str">
            <v xml:space="preserve">    </v>
          </cell>
          <cell r="F831" t="str">
            <v xml:space="preserve">   </v>
          </cell>
          <cell r="G831">
            <v>2280833</v>
          </cell>
          <cell r="H831">
            <v>369028.67</v>
          </cell>
          <cell r="I831">
            <v>0</v>
          </cell>
          <cell r="J831">
            <v>166418.23999999999</v>
          </cell>
          <cell r="K831">
            <v>202610.43</v>
          </cell>
          <cell r="L831">
            <v>0</v>
          </cell>
        </row>
        <row r="832">
          <cell r="A832">
            <v>1</v>
          </cell>
          <cell r="B832">
            <v>2</v>
          </cell>
          <cell r="C832">
            <v>903</v>
          </cell>
          <cell r="D832">
            <v>10</v>
          </cell>
          <cell r="E832" t="str">
            <v xml:space="preserve">    </v>
          </cell>
          <cell r="F832" t="str">
            <v xml:space="preserve">   </v>
          </cell>
          <cell r="G832">
            <v>1290310</v>
          </cell>
          <cell r="H832">
            <v>65125.440000000002</v>
          </cell>
          <cell r="I832">
            <v>56169.69</v>
          </cell>
          <cell r="J832">
            <v>8339.65</v>
          </cell>
          <cell r="K832">
            <v>616.1</v>
          </cell>
          <cell r="L832">
            <v>0</v>
          </cell>
        </row>
        <row r="833">
          <cell r="A833">
            <v>2</v>
          </cell>
          <cell r="B833">
            <v>2</v>
          </cell>
          <cell r="C833">
            <v>903</v>
          </cell>
          <cell r="D833">
            <v>10</v>
          </cell>
          <cell r="E833" t="str">
            <v xml:space="preserve">    </v>
          </cell>
          <cell r="F833" t="str">
            <v xml:space="preserve">   </v>
          </cell>
          <cell r="G833">
            <v>2290310</v>
          </cell>
          <cell r="H833">
            <v>727872.95</v>
          </cell>
          <cell r="I833">
            <v>618495.91</v>
          </cell>
          <cell r="J833">
            <v>96404.51</v>
          </cell>
          <cell r="K833">
            <v>12972.53</v>
          </cell>
          <cell r="L833">
            <v>0</v>
          </cell>
        </row>
        <row r="834">
          <cell r="A834">
            <v>1</v>
          </cell>
          <cell r="B834">
            <v>2</v>
          </cell>
          <cell r="C834">
            <v>903</v>
          </cell>
          <cell r="D834">
            <v>20</v>
          </cell>
          <cell r="E834" t="str">
            <v xml:space="preserve">    </v>
          </cell>
          <cell r="F834" t="str">
            <v xml:space="preserve">   </v>
          </cell>
          <cell r="G834">
            <v>1290320</v>
          </cell>
          <cell r="H834">
            <v>24926.87</v>
          </cell>
          <cell r="I834">
            <v>6072.17</v>
          </cell>
          <cell r="J834">
            <v>18201.62</v>
          </cell>
          <cell r="K834">
            <v>653.08000000000004</v>
          </cell>
          <cell r="L834">
            <v>0</v>
          </cell>
        </row>
        <row r="835">
          <cell r="A835">
            <v>2</v>
          </cell>
          <cell r="B835">
            <v>2</v>
          </cell>
          <cell r="C835">
            <v>903</v>
          </cell>
          <cell r="D835">
            <v>20</v>
          </cell>
          <cell r="E835" t="str">
            <v xml:space="preserve">    </v>
          </cell>
          <cell r="F835" t="str">
            <v xml:space="preserve">   </v>
          </cell>
          <cell r="G835">
            <v>2290320</v>
          </cell>
          <cell r="H835">
            <v>238388.5</v>
          </cell>
          <cell r="I835">
            <v>90866.99</v>
          </cell>
          <cell r="J835">
            <v>146890.43</v>
          </cell>
          <cell r="K835">
            <v>631.08000000000004</v>
          </cell>
          <cell r="L835">
            <v>0</v>
          </cell>
        </row>
        <row r="836">
          <cell r="A836">
            <v>1</v>
          </cell>
          <cell r="B836">
            <v>2</v>
          </cell>
          <cell r="C836">
            <v>903</v>
          </cell>
          <cell r="D836">
            <v>21</v>
          </cell>
          <cell r="E836" t="str">
            <v xml:space="preserve">    </v>
          </cell>
          <cell r="F836" t="str">
            <v xml:space="preserve">   </v>
          </cell>
          <cell r="G836">
            <v>1290321</v>
          </cell>
          <cell r="H836">
            <v>5900.6</v>
          </cell>
          <cell r="I836">
            <v>0</v>
          </cell>
          <cell r="J836">
            <v>5533.69</v>
          </cell>
          <cell r="K836">
            <v>366.91</v>
          </cell>
          <cell r="L836">
            <v>0</v>
          </cell>
        </row>
        <row r="837">
          <cell r="A837">
            <v>2</v>
          </cell>
          <cell r="B837">
            <v>2</v>
          </cell>
          <cell r="C837">
            <v>903</v>
          </cell>
          <cell r="D837">
            <v>21</v>
          </cell>
          <cell r="E837" t="str">
            <v xml:space="preserve">    </v>
          </cell>
          <cell r="F837" t="str">
            <v xml:space="preserve">   </v>
          </cell>
          <cell r="G837">
            <v>2290321</v>
          </cell>
          <cell r="H837">
            <v>53385.34</v>
          </cell>
          <cell r="I837">
            <v>3719.92</v>
          </cell>
          <cell r="J837">
            <v>40732.769999999997</v>
          </cell>
          <cell r="K837">
            <v>8932.65</v>
          </cell>
          <cell r="L837">
            <v>0</v>
          </cell>
        </row>
        <row r="838">
          <cell r="A838">
            <v>1</v>
          </cell>
          <cell r="B838">
            <v>2</v>
          </cell>
          <cell r="C838">
            <v>903</v>
          </cell>
          <cell r="D838">
            <v>25</v>
          </cell>
          <cell r="E838" t="str">
            <v xml:space="preserve">    </v>
          </cell>
          <cell r="F838" t="str">
            <v xml:space="preserve">   </v>
          </cell>
          <cell r="G838">
            <v>1290325</v>
          </cell>
          <cell r="H838">
            <v>1697.31</v>
          </cell>
          <cell r="I838">
            <v>1697.31</v>
          </cell>
          <cell r="J838">
            <v>0</v>
          </cell>
          <cell r="K838">
            <v>0</v>
          </cell>
          <cell r="L838">
            <v>0</v>
          </cell>
        </row>
        <row r="839">
          <cell r="A839">
            <v>2</v>
          </cell>
          <cell r="B839">
            <v>2</v>
          </cell>
          <cell r="C839">
            <v>903</v>
          </cell>
          <cell r="D839">
            <v>25</v>
          </cell>
          <cell r="E839" t="str">
            <v xml:space="preserve">    </v>
          </cell>
          <cell r="F839" t="str">
            <v xml:space="preserve">   </v>
          </cell>
          <cell r="G839">
            <v>2290325</v>
          </cell>
          <cell r="H839">
            <v>27101.45</v>
          </cell>
          <cell r="I839">
            <v>27101.45</v>
          </cell>
          <cell r="J839">
            <v>0</v>
          </cell>
          <cell r="K839">
            <v>0</v>
          </cell>
          <cell r="L839">
            <v>0</v>
          </cell>
        </row>
        <row r="840">
          <cell r="A840">
            <v>1</v>
          </cell>
          <cell r="B840">
            <v>2</v>
          </cell>
          <cell r="C840">
            <v>903</v>
          </cell>
          <cell r="D840">
            <v>27</v>
          </cell>
          <cell r="E840" t="str">
            <v xml:space="preserve">    </v>
          </cell>
          <cell r="F840" t="str">
            <v xml:space="preserve">   </v>
          </cell>
          <cell r="G840">
            <v>1290327</v>
          </cell>
          <cell r="H840">
            <v>219.61</v>
          </cell>
          <cell r="I840">
            <v>219.61</v>
          </cell>
          <cell r="J840">
            <v>0</v>
          </cell>
          <cell r="K840">
            <v>0</v>
          </cell>
          <cell r="L840">
            <v>0</v>
          </cell>
        </row>
        <row r="841">
          <cell r="A841">
            <v>2</v>
          </cell>
          <cell r="B841">
            <v>2</v>
          </cell>
          <cell r="C841">
            <v>903</v>
          </cell>
          <cell r="D841">
            <v>27</v>
          </cell>
          <cell r="E841" t="str">
            <v xml:space="preserve">    </v>
          </cell>
          <cell r="F841" t="str">
            <v xml:space="preserve">   </v>
          </cell>
          <cell r="G841">
            <v>2290327</v>
          </cell>
          <cell r="H841">
            <v>2574.66</v>
          </cell>
          <cell r="I841">
            <v>2574.66</v>
          </cell>
          <cell r="J841">
            <v>0</v>
          </cell>
          <cell r="K841">
            <v>0</v>
          </cell>
          <cell r="L841">
            <v>0</v>
          </cell>
        </row>
        <row r="842">
          <cell r="A842">
            <v>1</v>
          </cell>
          <cell r="B842">
            <v>2</v>
          </cell>
          <cell r="C842">
            <v>903</v>
          </cell>
          <cell r="D842">
            <v>30</v>
          </cell>
          <cell r="E842" t="str">
            <v xml:space="preserve">    </v>
          </cell>
          <cell r="F842" t="str">
            <v xml:space="preserve">   </v>
          </cell>
          <cell r="G842">
            <v>1290330</v>
          </cell>
          <cell r="H842">
            <v>26003.17</v>
          </cell>
          <cell r="I842">
            <v>24580.39</v>
          </cell>
          <cell r="J842">
            <v>1422.78</v>
          </cell>
          <cell r="K842">
            <v>0</v>
          </cell>
          <cell r="L842">
            <v>0</v>
          </cell>
        </row>
        <row r="843">
          <cell r="A843">
            <v>2</v>
          </cell>
          <cell r="B843">
            <v>2</v>
          </cell>
          <cell r="C843">
            <v>903</v>
          </cell>
          <cell r="D843">
            <v>30</v>
          </cell>
          <cell r="E843" t="str">
            <v xml:space="preserve">    </v>
          </cell>
          <cell r="F843" t="str">
            <v xml:space="preserve">   </v>
          </cell>
          <cell r="G843">
            <v>2290330</v>
          </cell>
          <cell r="H843">
            <v>317500.73</v>
          </cell>
          <cell r="I843">
            <v>302526.18</v>
          </cell>
          <cell r="J843">
            <v>14974.55</v>
          </cell>
          <cell r="K843">
            <v>0</v>
          </cell>
          <cell r="L843">
            <v>0</v>
          </cell>
        </row>
        <row r="844">
          <cell r="A844">
            <v>1</v>
          </cell>
          <cell r="B844">
            <v>2</v>
          </cell>
          <cell r="C844">
            <v>903</v>
          </cell>
          <cell r="D844">
            <v>39</v>
          </cell>
          <cell r="E844" t="str">
            <v xml:space="preserve">    </v>
          </cell>
          <cell r="F844" t="str">
            <v xml:space="preserve">   </v>
          </cell>
          <cell r="G844">
            <v>1290339</v>
          </cell>
          <cell r="H844">
            <v>-302.44</v>
          </cell>
          <cell r="I844">
            <v>0</v>
          </cell>
          <cell r="J844">
            <v>-302.44</v>
          </cell>
          <cell r="K844">
            <v>0</v>
          </cell>
          <cell r="L844">
            <v>0</v>
          </cell>
        </row>
        <row r="845">
          <cell r="A845">
            <v>2</v>
          </cell>
          <cell r="B845">
            <v>2</v>
          </cell>
          <cell r="C845">
            <v>903</v>
          </cell>
          <cell r="D845">
            <v>39</v>
          </cell>
          <cell r="E845" t="str">
            <v xml:space="preserve">    </v>
          </cell>
          <cell r="F845" t="str">
            <v xml:space="preserve">   </v>
          </cell>
          <cell r="G845">
            <v>2290339</v>
          </cell>
          <cell r="H845">
            <v>-497.36</v>
          </cell>
          <cell r="I845">
            <v>0</v>
          </cell>
          <cell r="J845">
            <v>-497.36</v>
          </cell>
          <cell r="K845">
            <v>0</v>
          </cell>
          <cell r="L845">
            <v>0</v>
          </cell>
        </row>
        <row r="846">
          <cell r="A846">
            <v>1</v>
          </cell>
          <cell r="B846">
            <v>2</v>
          </cell>
          <cell r="C846">
            <v>903</v>
          </cell>
          <cell r="D846">
            <v>92</v>
          </cell>
          <cell r="E846" t="str">
            <v xml:space="preserve">    </v>
          </cell>
          <cell r="F846" t="str">
            <v xml:space="preserve">   </v>
          </cell>
          <cell r="G846">
            <v>1290392</v>
          </cell>
          <cell r="H846">
            <v>984.88</v>
          </cell>
          <cell r="I846">
            <v>984.88</v>
          </cell>
          <cell r="J846">
            <v>0</v>
          </cell>
          <cell r="K846">
            <v>0</v>
          </cell>
          <cell r="L846">
            <v>0</v>
          </cell>
        </row>
        <row r="847">
          <cell r="A847">
            <v>2</v>
          </cell>
          <cell r="B847">
            <v>2</v>
          </cell>
          <cell r="C847">
            <v>903</v>
          </cell>
          <cell r="D847">
            <v>92</v>
          </cell>
          <cell r="E847" t="str">
            <v xml:space="preserve">    </v>
          </cell>
          <cell r="F847" t="str">
            <v xml:space="preserve">   </v>
          </cell>
          <cell r="G847">
            <v>2290392</v>
          </cell>
          <cell r="H847">
            <v>10238.35</v>
          </cell>
          <cell r="I847">
            <v>10238.35</v>
          </cell>
          <cell r="J847">
            <v>0</v>
          </cell>
          <cell r="K847">
            <v>0</v>
          </cell>
          <cell r="L847">
            <v>0</v>
          </cell>
        </row>
        <row r="848">
          <cell r="A848">
            <v>1</v>
          </cell>
          <cell r="B848">
            <v>2</v>
          </cell>
          <cell r="C848">
            <v>903</v>
          </cell>
          <cell r="D848">
            <v>93</v>
          </cell>
          <cell r="E848" t="str">
            <v xml:space="preserve">    </v>
          </cell>
          <cell r="F848" t="str">
            <v xml:space="preserve">   </v>
          </cell>
          <cell r="G848">
            <v>1290393</v>
          </cell>
          <cell r="H848">
            <v>6183.18</v>
          </cell>
          <cell r="I848">
            <v>6183.18</v>
          </cell>
          <cell r="J848">
            <v>0</v>
          </cell>
          <cell r="K848">
            <v>0</v>
          </cell>
          <cell r="L848">
            <v>0</v>
          </cell>
        </row>
        <row r="849">
          <cell r="A849">
            <v>2</v>
          </cell>
          <cell r="B849">
            <v>2</v>
          </cell>
          <cell r="C849">
            <v>903</v>
          </cell>
          <cell r="D849">
            <v>93</v>
          </cell>
          <cell r="E849" t="str">
            <v xml:space="preserve">    </v>
          </cell>
          <cell r="F849" t="str">
            <v xml:space="preserve">   </v>
          </cell>
          <cell r="G849">
            <v>2290393</v>
          </cell>
          <cell r="H849">
            <v>146400.79</v>
          </cell>
          <cell r="I849">
            <v>146400.79</v>
          </cell>
          <cell r="J849">
            <v>0</v>
          </cell>
          <cell r="K849">
            <v>0</v>
          </cell>
          <cell r="L849">
            <v>0</v>
          </cell>
        </row>
        <row r="850">
          <cell r="A850">
            <v>1</v>
          </cell>
          <cell r="B850">
            <v>2</v>
          </cell>
          <cell r="C850">
            <v>999</v>
          </cell>
          <cell r="D850">
            <v>1</v>
          </cell>
          <cell r="E850" t="str">
            <v xml:space="preserve">    </v>
          </cell>
          <cell r="F850" t="str">
            <v xml:space="preserve">   </v>
          </cell>
          <cell r="G850">
            <v>1299901</v>
          </cell>
          <cell r="H850">
            <v>-427403</v>
          </cell>
          <cell r="I850">
            <v>-26577</v>
          </cell>
          <cell r="J850">
            <v>-348814</v>
          </cell>
          <cell r="K850">
            <v>-52012</v>
          </cell>
          <cell r="L850">
            <v>0</v>
          </cell>
        </row>
        <row r="851">
          <cell r="A851">
            <v>2</v>
          </cell>
          <cell r="B851">
            <v>2</v>
          </cell>
          <cell r="C851">
            <v>999</v>
          </cell>
          <cell r="D851">
            <v>1</v>
          </cell>
          <cell r="E851" t="str">
            <v xml:space="preserve">    </v>
          </cell>
          <cell r="F851" t="str">
            <v xml:space="preserve">   </v>
          </cell>
          <cell r="G851">
            <v>2299901</v>
          </cell>
          <cell r="H851">
            <v>-5006531</v>
          </cell>
          <cell r="I851">
            <v>-426153</v>
          </cell>
          <cell r="J851">
            <v>-3916765</v>
          </cell>
          <cell r="K851">
            <v>-663613</v>
          </cell>
          <cell r="L851">
            <v>0</v>
          </cell>
        </row>
        <row r="852">
          <cell r="A852">
            <v>1</v>
          </cell>
          <cell r="B852">
            <v>2</v>
          </cell>
          <cell r="C852">
            <v>999</v>
          </cell>
          <cell r="D852">
            <v>2</v>
          </cell>
          <cell r="E852" t="str">
            <v xml:space="preserve">    </v>
          </cell>
          <cell r="F852" t="str">
            <v xml:space="preserve">   </v>
          </cell>
          <cell r="G852">
            <v>1299902</v>
          </cell>
          <cell r="H852">
            <v>-16853</v>
          </cell>
          <cell r="I852">
            <v>0</v>
          </cell>
          <cell r="J852">
            <v>-9838</v>
          </cell>
          <cell r="K852">
            <v>-7015</v>
          </cell>
          <cell r="L852">
            <v>0</v>
          </cell>
        </row>
        <row r="853">
          <cell r="A853">
            <v>2</v>
          </cell>
          <cell r="B853">
            <v>2</v>
          </cell>
          <cell r="C853">
            <v>999</v>
          </cell>
          <cell r="D853">
            <v>2</v>
          </cell>
          <cell r="E853" t="str">
            <v xml:space="preserve">    </v>
          </cell>
          <cell r="F853" t="str">
            <v xml:space="preserve">   </v>
          </cell>
          <cell r="G853">
            <v>2299902</v>
          </cell>
          <cell r="H853">
            <v>-118204</v>
          </cell>
          <cell r="I853">
            <v>0</v>
          </cell>
          <cell r="J853">
            <v>-99332</v>
          </cell>
          <cell r="K853">
            <v>-18872</v>
          </cell>
          <cell r="L853">
            <v>0</v>
          </cell>
        </row>
        <row r="854">
          <cell r="A854">
            <v>1</v>
          </cell>
          <cell r="B854">
            <v>2</v>
          </cell>
          <cell r="C854">
            <v>999</v>
          </cell>
          <cell r="D854">
            <v>3</v>
          </cell>
          <cell r="E854" t="str">
            <v xml:space="preserve">    </v>
          </cell>
          <cell r="F854" t="str">
            <v xml:space="preserve">   </v>
          </cell>
          <cell r="G854">
            <v>1299903</v>
          </cell>
          <cell r="H854">
            <v>-2980</v>
          </cell>
          <cell r="I854">
            <v>-2980</v>
          </cell>
          <cell r="J854">
            <v>0</v>
          </cell>
          <cell r="K854">
            <v>0</v>
          </cell>
          <cell r="L854">
            <v>0</v>
          </cell>
        </row>
        <row r="855">
          <cell r="A855">
            <v>2</v>
          </cell>
          <cell r="B855">
            <v>2</v>
          </cell>
          <cell r="C855">
            <v>999</v>
          </cell>
          <cell r="D855">
            <v>3</v>
          </cell>
          <cell r="E855" t="str">
            <v xml:space="preserve">    </v>
          </cell>
          <cell r="F855" t="str">
            <v xml:space="preserve">   </v>
          </cell>
          <cell r="G855">
            <v>2299903</v>
          </cell>
          <cell r="H855">
            <v>-18139</v>
          </cell>
          <cell r="I855">
            <v>-18139</v>
          </cell>
          <cell r="J855">
            <v>0</v>
          </cell>
          <cell r="K855">
            <v>0</v>
          </cell>
          <cell r="L855">
            <v>0</v>
          </cell>
        </row>
        <row r="856">
          <cell r="A856">
            <v>1</v>
          </cell>
          <cell r="B856">
            <v>2</v>
          </cell>
          <cell r="C856">
            <v>999</v>
          </cell>
          <cell r="D856">
            <v>4</v>
          </cell>
          <cell r="E856" t="str">
            <v xml:space="preserve">    </v>
          </cell>
          <cell r="F856" t="str">
            <v xml:space="preserve">   </v>
          </cell>
          <cell r="G856">
            <v>1299904</v>
          </cell>
          <cell r="H856">
            <v>-53127</v>
          </cell>
          <cell r="I856">
            <v>-29219</v>
          </cell>
          <cell r="J856">
            <v>-16674</v>
          </cell>
          <cell r="K856">
            <v>-7234</v>
          </cell>
          <cell r="L856">
            <v>0</v>
          </cell>
        </row>
        <row r="857">
          <cell r="A857">
            <v>2</v>
          </cell>
          <cell r="B857">
            <v>2</v>
          </cell>
          <cell r="C857">
            <v>999</v>
          </cell>
          <cell r="D857">
            <v>4</v>
          </cell>
          <cell r="E857" t="str">
            <v xml:space="preserve">    </v>
          </cell>
          <cell r="F857" t="str">
            <v xml:space="preserve">   </v>
          </cell>
          <cell r="G857">
            <v>2299904</v>
          </cell>
          <cell r="H857">
            <v>-472219</v>
          </cell>
          <cell r="I857">
            <v>-185499</v>
          </cell>
          <cell r="J857">
            <v>-200000</v>
          </cell>
          <cell r="K857">
            <v>-86720</v>
          </cell>
          <cell r="L857">
            <v>0</v>
          </cell>
        </row>
        <row r="858">
          <cell r="A858">
            <v>1</v>
          </cell>
          <cell r="B858">
            <v>2</v>
          </cell>
          <cell r="C858">
            <v>999</v>
          </cell>
          <cell r="D858">
            <v>5</v>
          </cell>
          <cell r="E858" t="str">
            <v xml:space="preserve">    </v>
          </cell>
          <cell r="F858" t="str">
            <v xml:space="preserve">   </v>
          </cell>
          <cell r="G858">
            <v>1299905</v>
          </cell>
          <cell r="H858">
            <v>-5186</v>
          </cell>
          <cell r="I858">
            <v>-5186</v>
          </cell>
          <cell r="J858">
            <v>0</v>
          </cell>
          <cell r="K858">
            <v>0</v>
          </cell>
          <cell r="L858">
            <v>0</v>
          </cell>
        </row>
        <row r="859">
          <cell r="A859">
            <v>2</v>
          </cell>
          <cell r="B859">
            <v>2</v>
          </cell>
          <cell r="C859">
            <v>999</v>
          </cell>
          <cell r="D859">
            <v>5</v>
          </cell>
          <cell r="E859" t="str">
            <v xml:space="preserve">    </v>
          </cell>
          <cell r="F859" t="str">
            <v xml:space="preserve">   </v>
          </cell>
          <cell r="G859">
            <v>2299905</v>
          </cell>
          <cell r="H859">
            <v>-79692</v>
          </cell>
          <cell r="I859">
            <v>-79692</v>
          </cell>
          <cell r="J859">
            <v>0</v>
          </cell>
          <cell r="K859">
            <v>0</v>
          </cell>
          <cell r="L859">
            <v>0</v>
          </cell>
        </row>
        <row r="860">
          <cell r="A860">
            <v>1</v>
          </cell>
          <cell r="B860">
            <v>2</v>
          </cell>
          <cell r="C860">
            <v>999</v>
          </cell>
          <cell r="D860">
            <v>6</v>
          </cell>
          <cell r="E860" t="str">
            <v xml:space="preserve">    </v>
          </cell>
          <cell r="F860" t="str">
            <v xml:space="preserve">   </v>
          </cell>
          <cell r="G860">
            <v>1299906</v>
          </cell>
          <cell r="H860">
            <v>-633778</v>
          </cell>
          <cell r="I860">
            <v>0</v>
          </cell>
          <cell r="J860">
            <v>-633778</v>
          </cell>
          <cell r="K860">
            <v>0</v>
          </cell>
          <cell r="L860">
            <v>0</v>
          </cell>
        </row>
        <row r="861">
          <cell r="A861">
            <v>2</v>
          </cell>
          <cell r="B861">
            <v>2</v>
          </cell>
          <cell r="C861">
            <v>999</v>
          </cell>
          <cell r="D861">
            <v>6</v>
          </cell>
          <cell r="E861" t="str">
            <v xml:space="preserve">    </v>
          </cell>
          <cell r="F861" t="str">
            <v xml:space="preserve">   </v>
          </cell>
          <cell r="G861">
            <v>2299906</v>
          </cell>
          <cell r="H861">
            <v>-2866796</v>
          </cell>
          <cell r="I861">
            <v>0</v>
          </cell>
          <cell r="J861">
            <v>-2866796</v>
          </cell>
          <cell r="K861">
            <v>0</v>
          </cell>
          <cell r="L861">
            <v>0</v>
          </cell>
        </row>
        <row r="862">
          <cell r="A862">
            <v>1</v>
          </cell>
          <cell r="B862">
            <v>2</v>
          </cell>
          <cell r="C862">
            <v>999</v>
          </cell>
          <cell r="D862">
            <v>8</v>
          </cell>
          <cell r="E862" t="str">
            <v xml:space="preserve">    </v>
          </cell>
          <cell r="F862" t="str">
            <v xml:space="preserve">   </v>
          </cell>
          <cell r="G862">
            <v>1299908</v>
          </cell>
          <cell r="H862">
            <v>0</v>
          </cell>
          <cell r="I862">
            <v>0</v>
          </cell>
          <cell r="J862">
            <v>0</v>
          </cell>
          <cell r="K862">
            <v>0</v>
          </cell>
          <cell r="L862">
            <v>0</v>
          </cell>
        </row>
        <row r="863">
          <cell r="A863">
            <v>2</v>
          </cell>
          <cell r="B863">
            <v>2</v>
          </cell>
          <cell r="C863">
            <v>999</v>
          </cell>
          <cell r="D863">
            <v>8</v>
          </cell>
          <cell r="E863" t="str">
            <v xml:space="preserve">    </v>
          </cell>
          <cell r="F863" t="str">
            <v xml:space="preserve">   </v>
          </cell>
          <cell r="G863">
            <v>2299908</v>
          </cell>
          <cell r="H863">
            <v>-312994</v>
          </cell>
          <cell r="I863">
            <v>0</v>
          </cell>
          <cell r="J863">
            <v>-312994</v>
          </cell>
          <cell r="K863">
            <v>0</v>
          </cell>
          <cell r="L863">
            <v>0</v>
          </cell>
        </row>
        <row r="864">
          <cell r="A864">
            <v>1</v>
          </cell>
          <cell r="B864">
            <v>2</v>
          </cell>
          <cell r="C864">
            <v>999</v>
          </cell>
          <cell r="D864">
            <v>9</v>
          </cell>
          <cell r="E864" t="str">
            <v xml:space="preserve">    </v>
          </cell>
          <cell r="F864" t="str">
            <v xml:space="preserve">   </v>
          </cell>
          <cell r="G864">
            <v>1299909</v>
          </cell>
          <cell r="H864">
            <v>-2414</v>
          </cell>
          <cell r="I864">
            <v>0</v>
          </cell>
          <cell r="J864">
            <v>-2325</v>
          </cell>
          <cell r="K864">
            <v>-89</v>
          </cell>
          <cell r="L864">
            <v>0</v>
          </cell>
        </row>
        <row r="865">
          <cell r="A865">
            <v>2</v>
          </cell>
          <cell r="B865">
            <v>2</v>
          </cell>
          <cell r="C865">
            <v>999</v>
          </cell>
          <cell r="D865">
            <v>9</v>
          </cell>
          <cell r="E865" t="str">
            <v xml:space="preserve">    </v>
          </cell>
          <cell r="F865" t="str">
            <v xml:space="preserve">   </v>
          </cell>
          <cell r="G865">
            <v>2299909</v>
          </cell>
          <cell r="H865">
            <v>-28968</v>
          </cell>
          <cell r="I865">
            <v>0</v>
          </cell>
          <cell r="J865">
            <v>-27900</v>
          </cell>
          <cell r="K865">
            <v>-1068</v>
          </cell>
          <cell r="L865">
            <v>0</v>
          </cell>
        </row>
        <row r="866">
          <cell r="A866">
            <v>1</v>
          </cell>
          <cell r="B866">
            <v>2</v>
          </cell>
          <cell r="C866">
            <v>999</v>
          </cell>
          <cell r="D866">
            <v>11</v>
          </cell>
          <cell r="E866" t="str">
            <v xml:space="preserve">    </v>
          </cell>
          <cell r="F866" t="str">
            <v xml:space="preserve">   </v>
          </cell>
          <cell r="G866">
            <v>1299911</v>
          </cell>
          <cell r="H866">
            <v>-5151</v>
          </cell>
          <cell r="I866">
            <v>0</v>
          </cell>
          <cell r="J866">
            <v>-5151</v>
          </cell>
          <cell r="K866">
            <v>0</v>
          </cell>
          <cell r="L866">
            <v>0</v>
          </cell>
        </row>
        <row r="867">
          <cell r="A867">
            <v>2</v>
          </cell>
          <cell r="B867">
            <v>2</v>
          </cell>
          <cell r="C867">
            <v>999</v>
          </cell>
          <cell r="D867">
            <v>11</v>
          </cell>
          <cell r="E867" t="str">
            <v xml:space="preserve">    </v>
          </cell>
          <cell r="F867" t="str">
            <v xml:space="preserve">   </v>
          </cell>
          <cell r="G867">
            <v>2299911</v>
          </cell>
          <cell r="H867">
            <v>-61812</v>
          </cell>
          <cell r="I867">
            <v>0</v>
          </cell>
          <cell r="J867">
            <v>-61812</v>
          </cell>
          <cell r="K867">
            <v>0</v>
          </cell>
          <cell r="L867">
            <v>0</v>
          </cell>
        </row>
        <row r="868">
          <cell r="A868">
            <v>1</v>
          </cell>
          <cell r="B868">
            <v>2</v>
          </cell>
          <cell r="C868">
            <v>999</v>
          </cell>
          <cell r="D868">
            <v>53</v>
          </cell>
          <cell r="E868" t="str">
            <v xml:space="preserve">    </v>
          </cell>
          <cell r="F868" t="str">
            <v xml:space="preserve">   </v>
          </cell>
          <cell r="G868">
            <v>1299953</v>
          </cell>
          <cell r="H868">
            <v>0</v>
          </cell>
          <cell r="I868">
            <v>0</v>
          </cell>
          <cell r="J868">
            <v>0</v>
          </cell>
          <cell r="K868">
            <v>0</v>
          </cell>
          <cell r="L868">
            <v>0</v>
          </cell>
        </row>
        <row r="869">
          <cell r="A869">
            <v>2</v>
          </cell>
          <cell r="B869">
            <v>2</v>
          </cell>
          <cell r="C869">
            <v>999</v>
          </cell>
          <cell r="D869">
            <v>53</v>
          </cell>
          <cell r="E869" t="str">
            <v xml:space="preserve">    </v>
          </cell>
          <cell r="F869" t="str">
            <v xml:space="preserve">   </v>
          </cell>
          <cell r="G869">
            <v>2299953</v>
          </cell>
          <cell r="H869">
            <v>54394</v>
          </cell>
          <cell r="I869">
            <v>0</v>
          </cell>
          <cell r="J869">
            <v>49795</v>
          </cell>
          <cell r="K869">
            <v>4599</v>
          </cell>
          <cell r="L869">
            <v>0</v>
          </cell>
        </row>
        <row r="870">
          <cell r="A870">
            <v>1</v>
          </cell>
          <cell r="B870">
            <v>2</v>
          </cell>
          <cell r="C870">
            <v>999</v>
          </cell>
          <cell r="D870">
            <v>54</v>
          </cell>
          <cell r="E870" t="str">
            <v xml:space="preserve">    </v>
          </cell>
          <cell r="F870" t="str">
            <v xml:space="preserve">   </v>
          </cell>
          <cell r="G870">
            <v>1299954</v>
          </cell>
          <cell r="H870">
            <v>12605</v>
          </cell>
          <cell r="I870">
            <v>12605</v>
          </cell>
          <cell r="J870">
            <v>0</v>
          </cell>
          <cell r="K870">
            <v>0</v>
          </cell>
          <cell r="L870">
            <v>0</v>
          </cell>
        </row>
        <row r="871">
          <cell r="A871">
            <v>2</v>
          </cell>
          <cell r="B871">
            <v>2</v>
          </cell>
          <cell r="C871">
            <v>999</v>
          </cell>
          <cell r="D871">
            <v>54</v>
          </cell>
          <cell r="E871" t="str">
            <v xml:space="preserve">    </v>
          </cell>
          <cell r="F871" t="str">
            <v xml:space="preserve">   </v>
          </cell>
          <cell r="G871">
            <v>2299954</v>
          </cell>
          <cell r="H871">
            <v>406228</v>
          </cell>
          <cell r="I871">
            <v>406228</v>
          </cell>
          <cell r="J871">
            <v>0</v>
          </cell>
          <cell r="K871">
            <v>0</v>
          </cell>
          <cell r="L871">
            <v>0</v>
          </cell>
        </row>
        <row r="872">
          <cell r="A872">
            <v>1</v>
          </cell>
          <cell r="B872">
            <v>2</v>
          </cell>
          <cell r="C872">
            <v>999</v>
          </cell>
          <cell r="D872">
            <v>55</v>
          </cell>
          <cell r="E872" t="str">
            <v xml:space="preserve">    </v>
          </cell>
          <cell r="F872" t="str">
            <v xml:space="preserve">   </v>
          </cell>
          <cell r="G872">
            <v>1299955</v>
          </cell>
          <cell r="H872">
            <v>-595</v>
          </cell>
          <cell r="I872">
            <v>-595</v>
          </cell>
          <cell r="J872">
            <v>0</v>
          </cell>
          <cell r="K872">
            <v>0</v>
          </cell>
          <cell r="L872">
            <v>0</v>
          </cell>
        </row>
        <row r="873">
          <cell r="A873">
            <v>2</v>
          </cell>
          <cell r="B873">
            <v>2</v>
          </cell>
          <cell r="C873">
            <v>999</v>
          </cell>
          <cell r="D873">
            <v>55</v>
          </cell>
          <cell r="E873" t="str">
            <v xml:space="preserve">    </v>
          </cell>
          <cell r="F873" t="str">
            <v xml:space="preserve">   </v>
          </cell>
          <cell r="G873">
            <v>2299955</v>
          </cell>
          <cell r="H873">
            <v>7154</v>
          </cell>
          <cell r="I873">
            <v>7154</v>
          </cell>
          <cell r="J873">
            <v>0</v>
          </cell>
          <cell r="K873">
            <v>0</v>
          </cell>
          <cell r="L873">
            <v>0</v>
          </cell>
        </row>
        <row r="874">
          <cell r="A874">
            <v>1</v>
          </cell>
          <cell r="B874">
            <v>2</v>
          </cell>
          <cell r="C874">
            <v>999</v>
          </cell>
          <cell r="D874">
            <v>58</v>
          </cell>
          <cell r="E874" t="str">
            <v xml:space="preserve">    </v>
          </cell>
          <cell r="F874" t="str">
            <v xml:space="preserve">   </v>
          </cell>
          <cell r="G874">
            <v>1299958</v>
          </cell>
          <cell r="H874">
            <v>1611</v>
          </cell>
          <cell r="I874">
            <v>0</v>
          </cell>
          <cell r="J874">
            <v>1498</v>
          </cell>
          <cell r="K874">
            <v>113</v>
          </cell>
          <cell r="L874">
            <v>0</v>
          </cell>
        </row>
        <row r="875">
          <cell r="A875">
            <v>2</v>
          </cell>
          <cell r="B875">
            <v>2</v>
          </cell>
          <cell r="C875">
            <v>999</v>
          </cell>
          <cell r="D875">
            <v>58</v>
          </cell>
          <cell r="E875" t="str">
            <v xml:space="preserve">    </v>
          </cell>
          <cell r="F875" t="str">
            <v xml:space="preserve">   </v>
          </cell>
          <cell r="G875">
            <v>2299958</v>
          </cell>
          <cell r="H875">
            <v>43558</v>
          </cell>
          <cell r="I875">
            <v>0</v>
          </cell>
          <cell r="J875">
            <v>40609</v>
          </cell>
          <cell r="K875">
            <v>2949</v>
          </cell>
          <cell r="L875">
            <v>0</v>
          </cell>
        </row>
        <row r="876">
          <cell r="A876">
            <v>1</v>
          </cell>
          <cell r="B876">
            <v>2</v>
          </cell>
          <cell r="C876">
            <v>999</v>
          </cell>
          <cell r="D876">
            <v>59</v>
          </cell>
          <cell r="E876" t="str">
            <v xml:space="preserve">    </v>
          </cell>
          <cell r="F876" t="str">
            <v xml:space="preserve">   </v>
          </cell>
          <cell r="G876">
            <v>1299959</v>
          </cell>
          <cell r="H876">
            <v>5151</v>
          </cell>
          <cell r="I876">
            <v>0</v>
          </cell>
          <cell r="J876">
            <v>5151</v>
          </cell>
          <cell r="K876">
            <v>0</v>
          </cell>
          <cell r="L876">
            <v>0</v>
          </cell>
        </row>
        <row r="877">
          <cell r="A877">
            <v>2</v>
          </cell>
          <cell r="B877">
            <v>2</v>
          </cell>
          <cell r="C877">
            <v>999</v>
          </cell>
          <cell r="D877">
            <v>59</v>
          </cell>
          <cell r="E877" t="str">
            <v xml:space="preserve">    </v>
          </cell>
          <cell r="F877" t="str">
            <v xml:space="preserve">   </v>
          </cell>
          <cell r="G877">
            <v>2299959</v>
          </cell>
          <cell r="H877">
            <v>61812</v>
          </cell>
          <cell r="I877">
            <v>0</v>
          </cell>
          <cell r="J877">
            <v>61812</v>
          </cell>
          <cell r="K877">
            <v>0</v>
          </cell>
          <cell r="L877">
            <v>0</v>
          </cell>
        </row>
        <row r="878">
          <cell r="A878">
            <v>1</v>
          </cell>
          <cell r="B878">
            <v>2</v>
          </cell>
          <cell r="C878">
            <v>999</v>
          </cell>
          <cell r="D878">
            <v>60</v>
          </cell>
          <cell r="E878" t="str">
            <v xml:space="preserve">    </v>
          </cell>
          <cell r="F878" t="str">
            <v xml:space="preserve">   </v>
          </cell>
          <cell r="G878">
            <v>1299960</v>
          </cell>
          <cell r="H878">
            <v>593087</v>
          </cell>
          <cell r="I878">
            <v>89945</v>
          </cell>
          <cell r="J878">
            <v>439987</v>
          </cell>
          <cell r="K878">
            <v>63155</v>
          </cell>
          <cell r="L878">
            <v>0</v>
          </cell>
        </row>
        <row r="879">
          <cell r="A879">
            <v>2</v>
          </cell>
          <cell r="B879">
            <v>2</v>
          </cell>
          <cell r="C879">
            <v>999</v>
          </cell>
          <cell r="D879">
            <v>60</v>
          </cell>
          <cell r="E879" t="str">
            <v xml:space="preserve">    </v>
          </cell>
          <cell r="F879" t="str">
            <v xml:space="preserve">   </v>
          </cell>
          <cell r="G879">
            <v>2299960</v>
          </cell>
          <cell r="H879">
            <v>6436345</v>
          </cell>
          <cell r="I879">
            <v>861030</v>
          </cell>
          <cell r="J879">
            <v>4836065</v>
          </cell>
          <cell r="K879">
            <v>739250</v>
          </cell>
          <cell r="L879">
            <v>0</v>
          </cell>
        </row>
        <row r="880">
          <cell r="A880">
            <v>1</v>
          </cell>
          <cell r="B880">
            <v>2</v>
          </cell>
          <cell r="C880">
            <v>999</v>
          </cell>
          <cell r="D880">
            <v>62</v>
          </cell>
          <cell r="E880" t="str">
            <v xml:space="preserve">    </v>
          </cell>
          <cell r="F880" t="str">
            <v xml:space="preserve">   </v>
          </cell>
          <cell r="G880">
            <v>1299962</v>
          </cell>
          <cell r="H880">
            <v>5151</v>
          </cell>
          <cell r="I880">
            <v>0</v>
          </cell>
          <cell r="J880">
            <v>5151</v>
          </cell>
          <cell r="K880">
            <v>0</v>
          </cell>
          <cell r="L880">
            <v>0</v>
          </cell>
        </row>
        <row r="881">
          <cell r="A881">
            <v>2</v>
          </cell>
          <cell r="B881">
            <v>2</v>
          </cell>
          <cell r="C881">
            <v>999</v>
          </cell>
          <cell r="D881">
            <v>62</v>
          </cell>
          <cell r="E881" t="str">
            <v xml:space="preserve">    </v>
          </cell>
          <cell r="F881" t="str">
            <v xml:space="preserve">   </v>
          </cell>
          <cell r="G881">
            <v>2299962</v>
          </cell>
          <cell r="H881">
            <v>61812</v>
          </cell>
          <cell r="I881">
            <v>0</v>
          </cell>
          <cell r="J881">
            <v>61812</v>
          </cell>
          <cell r="K881">
            <v>0</v>
          </cell>
          <cell r="L881">
            <v>0</v>
          </cell>
        </row>
        <row r="882">
          <cell r="A882">
            <v>1</v>
          </cell>
          <cell r="B882">
            <v>2</v>
          </cell>
          <cell r="C882">
            <v>999</v>
          </cell>
          <cell r="D882">
            <v>70</v>
          </cell>
          <cell r="E882" t="str">
            <v xml:space="preserve">    </v>
          </cell>
          <cell r="F882" t="str">
            <v xml:space="preserve">   </v>
          </cell>
          <cell r="G882">
            <v>1299970</v>
          </cell>
          <cell r="H882">
            <v>310734.71999999997</v>
          </cell>
          <cell r="I882">
            <v>310734.71999999997</v>
          </cell>
          <cell r="J882">
            <v>0</v>
          </cell>
          <cell r="K882">
            <v>0</v>
          </cell>
          <cell r="L882">
            <v>0</v>
          </cell>
        </row>
        <row r="883">
          <cell r="A883">
            <v>2</v>
          </cell>
          <cell r="B883">
            <v>2</v>
          </cell>
          <cell r="C883">
            <v>999</v>
          </cell>
          <cell r="D883">
            <v>70</v>
          </cell>
          <cell r="E883" t="str">
            <v xml:space="preserve">    </v>
          </cell>
          <cell r="F883" t="str">
            <v xml:space="preserve">   </v>
          </cell>
          <cell r="G883">
            <v>2299970</v>
          </cell>
          <cell r="H883">
            <v>3614938.36</v>
          </cell>
          <cell r="I883">
            <v>3614938.36</v>
          </cell>
          <cell r="J883">
            <v>0</v>
          </cell>
          <cell r="K883">
            <v>0</v>
          </cell>
          <cell r="L883">
            <v>0</v>
          </cell>
        </row>
        <row r="884">
          <cell r="A884">
            <v>1</v>
          </cell>
          <cell r="B884">
            <v>2</v>
          </cell>
          <cell r="C884">
            <v>999</v>
          </cell>
          <cell r="D884">
            <v>91</v>
          </cell>
          <cell r="E884" t="str">
            <v xml:space="preserve">    </v>
          </cell>
          <cell r="F884" t="str">
            <v xml:space="preserve">   </v>
          </cell>
          <cell r="G884">
            <v>1299991</v>
          </cell>
          <cell r="H884">
            <v>-33049</v>
          </cell>
          <cell r="I884">
            <v>-33049</v>
          </cell>
          <cell r="J884">
            <v>0</v>
          </cell>
          <cell r="K884">
            <v>0</v>
          </cell>
          <cell r="L884">
            <v>0</v>
          </cell>
        </row>
        <row r="885">
          <cell r="A885">
            <v>2</v>
          </cell>
          <cell r="B885">
            <v>2</v>
          </cell>
          <cell r="C885">
            <v>999</v>
          </cell>
          <cell r="D885">
            <v>91</v>
          </cell>
          <cell r="E885" t="str">
            <v xml:space="preserve">    </v>
          </cell>
          <cell r="F885" t="str">
            <v xml:space="preserve">   </v>
          </cell>
          <cell r="G885">
            <v>2299991</v>
          </cell>
          <cell r="H885">
            <v>-1131411</v>
          </cell>
          <cell r="I885">
            <v>-1131411</v>
          </cell>
          <cell r="J885">
            <v>0</v>
          </cell>
          <cell r="K885">
            <v>0</v>
          </cell>
          <cell r="L885">
            <v>0</v>
          </cell>
        </row>
        <row r="886">
          <cell r="A886">
            <v>1</v>
          </cell>
          <cell r="B886">
            <v>2</v>
          </cell>
          <cell r="C886">
            <v>999</v>
          </cell>
          <cell r="D886">
            <v>95</v>
          </cell>
          <cell r="E886" t="str">
            <v xml:space="preserve">    </v>
          </cell>
          <cell r="F886" t="str">
            <v xml:space="preserve">   </v>
          </cell>
          <cell r="G886">
            <v>1299995</v>
          </cell>
          <cell r="H886">
            <v>155311</v>
          </cell>
          <cell r="I886">
            <v>155311</v>
          </cell>
          <cell r="J886">
            <v>0</v>
          </cell>
          <cell r="K886">
            <v>0</v>
          </cell>
          <cell r="L886">
            <v>0</v>
          </cell>
        </row>
        <row r="887">
          <cell r="A887">
            <v>2</v>
          </cell>
          <cell r="B887">
            <v>2</v>
          </cell>
          <cell r="C887">
            <v>999</v>
          </cell>
          <cell r="D887">
            <v>95</v>
          </cell>
          <cell r="E887" t="str">
            <v xml:space="preserve">    </v>
          </cell>
          <cell r="F887" t="str">
            <v xml:space="preserve">   </v>
          </cell>
          <cell r="G887">
            <v>2299995</v>
          </cell>
          <cell r="H887">
            <v>199505</v>
          </cell>
          <cell r="I887">
            <v>199505</v>
          </cell>
          <cell r="J887">
            <v>0</v>
          </cell>
          <cell r="K887">
            <v>0</v>
          </cell>
          <cell r="L887">
            <v>0</v>
          </cell>
        </row>
        <row r="888">
          <cell r="A888">
            <v>1</v>
          </cell>
          <cell r="B888">
            <v>9</v>
          </cell>
          <cell r="C888">
            <v>182</v>
          </cell>
          <cell r="D888">
            <v>31</v>
          </cell>
          <cell r="E888" t="str">
            <v xml:space="preserve">    </v>
          </cell>
          <cell r="F888" t="str">
            <v xml:space="preserve">   </v>
          </cell>
          <cell r="G888">
            <v>1918231</v>
          </cell>
          <cell r="H888">
            <v>-692072</v>
          </cell>
          <cell r="I888">
            <v>-692072</v>
          </cell>
          <cell r="J888">
            <v>0</v>
          </cell>
          <cell r="K888">
            <v>0</v>
          </cell>
          <cell r="L888">
            <v>0</v>
          </cell>
        </row>
        <row r="889">
          <cell r="A889">
            <v>2</v>
          </cell>
          <cell r="B889">
            <v>9</v>
          </cell>
          <cell r="C889">
            <v>182</v>
          </cell>
          <cell r="D889">
            <v>31</v>
          </cell>
          <cell r="E889" t="str">
            <v xml:space="preserve">    </v>
          </cell>
          <cell r="F889" t="str">
            <v xml:space="preserve">   </v>
          </cell>
          <cell r="G889">
            <v>2918231</v>
          </cell>
          <cell r="H889">
            <v>-4095512</v>
          </cell>
          <cell r="I889">
            <v>-4095512</v>
          </cell>
          <cell r="J889">
            <v>0</v>
          </cell>
          <cell r="K889">
            <v>0</v>
          </cell>
          <cell r="L889">
            <v>0</v>
          </cell>
        </row>
        <row r="890">
          <cell r="A890">
            <v>1</v>
          </cell>
          <cell r="B890">
            <v>9</v>
          </cell>
          <cell r="C890">
            <v>182</v>
          </cell>
          <cell r="D890">
            <v>32</v>
          </cell>
          <cell r="E890" t="str">
            <v xml:space="preserve">    </v>
          </cell>
          <cell r="F890" t="str">
            <v xml:space="preserve">   </v>
          </cell>
          <cell r="G890">
            <v>1918232</v>
          </cell>
          <cell r="H890">
            <v>-629101</v>
          </cell>
          <cell r="I890">
            <v>-629101</v>
          </cell>
          <cell r="J890">
            <v>0</v>
          </cell>
          <cell r="K890">
            <v>0</v>
          </cell>
          <cell r="L890">
            <v>0</v>
          </cell>
        </row>
        <row r="891">
          <cell r="A891">
            <v>2</v>
          </cell>
          <cell r="B891">
            <v>9</v>
          </cell>
          <cell r="C891">
            <v>182</v>
          </cell>
          <cell r="D891">
            <v>32</v>
          </cell>
          <cell r="E891" t="str">
            <v xml:space="preserve">    </v>
          </cell>
          <cell r="F891" t="str">
            <v xml:space="preserve">   </v>
          </cell>
          <cell r="G891">
            <v>2918232</v>
          </cell>
          <cell r="H891">
            <v>-1549296</v>
          </cell>
          <cell r="I891">
            <v>-1549296</v>
          </cell>
          <cell r="J891">
            <v>0</v>
          </cell>
          <cell r="K891">
            <v>0</v>
          </cell>
          <cell r="L891">
            <v>0</v>
          </cell>
        </row>
        <row r="892">
          <cell r="A892">
            <v>1</v>
          </cell>
          <cell r="B892">
            <v>9</v>
          </cell>
          <cell r="C892">
            <v>190</v>
          </cell>
          <cell r="D892">
            <v>10</v>
          </cell>
          <cell r="E892" t="str">
            <v xml:space="preserve">    </v>
          </cell>
          <cell r="F892" t="str">
            <v xml:space="preserve">   </v>
          </cell>
          <cell r="G892">
            <v>1919010</v>
          </cell>
          <cell r="H892">
            <v>148610</v>
          </cell>
          <cell r="I892">
            <v>148610</v>
          </cell>
          <cell r="J892">
            <v>0</v>
          </cell>
          <cell r="K892">
            <v>0</v>
          </cell>
          <cell r="L892">
            <v>0</v>
          </cell>
        </row>
        <row r="893">
          <cell r="A893">
            <v>2</v>
          </cell>
          <cell r="B893">
            <v>9</v>
          </cell>
          <cell r="C893">
            <v>190</v>
          </cell>
          <cell r="D893">
            <v>10</v>
          </cell>
          <cell r="E893" t="str">
            <v xml:space="preserve">    </v>
          </cell>
          <cell r="F893" t="str">
            <v xml:space="preserve">   </v>
          </cell>
          <cell r="G893">
            <v>2919010</v>
          </cell>
          <cell r="H893">
            <v>490493.61</v>
          </cell>
          <cell r="I893">
            <v>490493.61</v>
          </cell>
          <cell r="J893">
            <v>0</v>
          </cell>
          <cell r="K893">
            <v>0</v>
          </cell>
          <cell r="L893">
            <v>0</v>
          </cell>
        </row>
        <row r="894">
          <cell r="A894">
            <v>1</v>
          </cell>
          <cell r="B894">
            <v>9</v>
          </cell>
          <cell r="C894">
            <v>190</v>
          </cell>
          <cell r="D894">
            <v>11</v>
          </cell>
          <cell r="E894" t="str">
            <v xml:space="preserve">    </v>
          </cell>
          <cell r="F894" t="str">
            <v xml:space="preserve">   </v>
          </cell>
          <cell r="G894">
            <v>1919011</v>
          </cell>
          <cell r="H894">
            <v>-15805</v>
          </cell>
          <cell r="I894">
            <v>-15805</v>
          </cell>
          <cell r="J894">
            <v>0</v>
          </cell>
          <cell r="K894">
            <v>0</v>
          </cell>
          <cell r="L894">
            <v>0</v>
          </cell>
        </row>
        <row r="895">
          <cell r="A895">
            <v>2</v>
          </cell>
          <cell r="B895">
            <v>9</v>
          </cell>
          <cell r="C895">
            <v>190</v>
          </cell>
          <cell r="D895">
            <v>11</v>
          </cell>
          <cell r="E895" t="str">
            <v xml:space="preserve">    </v>
          </cell>
          <cell r="F895" t="str">
            <v xml:space="preserve">   </v>
          </cell>
          <cell r="G895">
            <v>2919011</v>
          </cell>
          <cell r="H895">
            <v>-189660</v>
          </cell>
          <cell r="I895">
            <v>-189660</v>
          </cell>
          <cell r="J895">
            <v>0</v>
          </cell>
          <cell r="K895">
            <v>0</v>
          </cell>
          <cell r="L895">
            <v>0</v>
          </cell>
        </row>
        <row r="896">
          <cell r="A896">
            <v>1</v>
          </cell>
          <cell r="B896">
            <v>9</v>
          </cell>
          <cell r="C896">
            <v>190</v>
          </cell>
          <cell r="D896">
            <v>15</v>
          </cell>
          <cell r="E896" t="str">
            <v xml:space="preserve">    </v>
          </cell>
          <cell r="F896" t="str">
            <v xml:space="preserve">   </v>
          </cell>
          <cell r="G896">
            <v>1919015</v>
          </cell>
          <cell r="H896">
            <v>14732</v>
          </cell>
          <cell r="I896">
            <v>14732</v>
          </cell>
          <cell r="J896">
            <v>0</v>
          </cell>
          <cell r="K896">
            <v>0</v>
          </cell>
          <cell r="L896">
            <v>0</v>
          </cell>
        </row>
        <row r="897">
          <cell r="A897">
            <v>2</v>
          </cell>
          <cell r="B897">
            <v>9</v>
          </cell>
          <cell r="C897">
            <v>190</v>
          </cell>
          <cell r="D897">
            <v>15</v>
          </cell>
          <cell r="E897" t="str">
            <v xml:space="preserve">    </v>
          </cell>
          <cell r="F897" t="str">
            <v xml:space="preserve">   </v>
          </cell>
          <cell r="G897">
            <v>2919015</v>
          </cell>
          <cell r="H897">
            <v>287449</v>
          </cell>
          <cell r="I897">
            <v>287449</v>
          </cell>
          <cell r="J897">
            <v>0</v>
          </cell>
          <cell r="K897">
            <v>0</v>
          </cell>
          <cell r="L897">
            <v>0</v>
          </cell>
        </row>
        <row r="898">
          <cell r="A898">
            <v>1</v>
          </cell>
          <cell r="B898">
            <v>9</v>
          </cell>
          <cell r="C898">
            <v>190</v>
          </cell>
          <cell r="D898">
            <v>20</v>
          </cell>
          <cell r="E898" t="str">
            <v xml:space="preserve">    </v>
          </cell>
          <cell r="F898" t="str">
            <v xml:space="preserve">   </v>
          </cell>
          <cell r="G898">
            <v>1919020</v>
          </cell>
          <cell r="H898">
            <v>432</v>
          </cell>
          <cell r="I898">
            <v>432</v>
          </cell>
          <cell r="J898">
            <v>0</v>
          </cell>
          <cell r="K898">
            <v>0</v>
          </cell>
          <cell r="L898">
            <v>0</v>
          </cell>
        </row>
        <row r="899">
          <cell r="A899">
            <v>2</v>
          </cell>
          <cell r="B899">
            <v>9</v>
          </cell>
          <cell r="C899">
            <v>190</v>
          </cell>
          <cell r="D899">
            <v>20</v>
          </cell>
          <cell r="E899" t="str">
            <v xml:space="preserve">    </v>
          </cell>
          <cell r="F899" t="str">
            <v xml:space="preserve">   </v>
          </cell>
          <cell r="G899">
            <v>2919020</v>
          </cell>
          <cell r="H899">
            <v>-33503</v>
          </cell>
          <cell r="I899">
            <v>-33503</v>
          </cell>
          <cell r="J899">
            <v>0</v>
          </cell>
          <cell r="K899">
            <v>0</v>
          </cell>
          <cell r="L899">
            <v>0</v>
          </cell>
        </row>
        <row r="900">
          <cell r="A900">
            <v>1</v>
          </cell>
          <cell r="B900">
            <v>9</v>
          </cell>
          <cell r="C900">
            <v>190</v>
          </cell>
          <cell r="D900">
            <v>21</v>
          </cell>
          <cell r="E900" t="str">
            <v xml:space="preserve">    </v>
          </cell>
          <cell r="F900" t="str">
            <v xml:space="preserve">   </v>
          </cell>
          <cell r="G900">
            <v>1919021</v>
          </cell>
          <cell r="H900">
            <v>426</v>
          </cell>
          <cell r="I900">
            <v>426</v>
          </cell>
          <cell r="J900">
            <v>0</v>
          </cell>
          <cell r="K900">
            <v>0</v>
          </cell>
          <cell r="L900">
            <v>0</v>
          </cell>
        </row>
        <row r="901">
          <cell r="A901">
            <v>2</v>
          </cell>
          <cell r="B901">
            <v>9</v>
          </cell>
          <cell r="C901">
            <v>190</v>
          </cell>
          <cell r="D901">
            <v>21</v>
          </cell>
          <cell r="E901" t="str">
            <v xml:space="preserve">    </v>
          </cell>
          <cell r="F901" t="str">
            <v xml:space="preserve">   </v>
          </cell>
          <cell r="G901">
            <v>2919021</v>
          </cell>
          <cell r="H901">
            <v>-61776</v>
          </cell>
          <cell r="I901">
            <v>-61776</v>
          </cell>
          <cell r="J901">
            <v>0</v>
          </cell>
          <cell r="K901">
            <v>0</v>
          </cell>
          <cell r="L901">
            <v>0</v>
          </cell>
        </row>
        <row r="902">
          <cell r="A902">
            <v>1</v>
          </cell>
          <cell r="B902">
            <v>9</v>
          </cell>
          <cell r="C902">
            <v>190</v>
          </cell>
          <cell r="D902">
            <v>28</v>
          </cell>
          <cell r="E902" t="str">
            <v xml:space="preserve">    </v>
          </cell>
          <cell r="F902" t="str">
            <v xml:space="preserve">   </v>
          </cell>
          <cell r="G902">
            <v>1919028</v>
          </cell>
          <cell r="H902">
            <v>146</v>
          </cell>
          <cell r="I902">
            <v>146</v>
          </cell>
          <cell r="J902">
            <v>0</v>
          </cell>
          <cell r="K902">
            <v>0</v>
          </cell>
          <cell r="L902">
            <v>0</v>
          </cell>
        </row>
        <row r="903">
          <cell r="A903">
            <v>2</v>
          </cell>
          <cell r="B903">
            <v>9</v>
          </cell>
          <cell r="C903">
            <v>190</v>
          </cell>
          <cell r="D903">
            <v>28</v>
          </cell>
          <cell r="E903" t="str">
            <v xml:space="preserve">    </v>
          </cell>
          <cell r="F903" t="str">
            <v xml:space="preserve">   </v>
          </cell>
          <cell r="G903">
            <v>2919028</v>
          </cell>
          <cell r="H903">
            <v>-13586</v>
          </cell>
          <cell r="I903">
            <v>-13586</v>
          </cell>
          <cell r="J903">
            <v>0</v>
          </cell>
          <cell r="K903">
            <v>0</v>
          </cell>
          <cell r="L903">
            <v>0</v>
          </cell>
        </row>
        <row r="904">
          <cell r="A904">
            <v>1</v>
          </cell>
          <cell r="B904">
            <v>9</v>
          </cell>
          <cell r="C904">
            <v>190</v>
          </cell>
          <cell r="D904">
            <v>38</v>
          </cell>
          <cell r="E904" t="str">
            <v xml:space="preserve">    </v>
          </cell>
          <cell r="F904" t="str">
            <v xml:space="preserve">   </v>
          </cell>
          <cell r="G904">
            <v>1919038</v>
          </cell>
          <cell r="H904">
            <v>-240064</v>
          </cell>
          <cell r="I904">
            <v>0</v>
          </cell>
          <cell r="J904">
            <v>0</v>
          </cell>
          <cell r="K904">
            <v>-240064</v>
          </cell>
          <cell r="L904">
            <v>0</v>
          </cell>
        </row>
        <row r="905">
          <cell r="A905">
            <v>2</v>
          </cell>
          <cell r="B905">
            <v>9</v>
          </cell>
          <cell r="C905">
            <v>190</v>
          </cell>
          <cell r="D905">
            <v>38</v>
          </cell>
          <cell r="E905" t="str">
            <v xml:space="preserve">    </v>
          </cell>
          <cell r="F905" t="str">
            <v xml:space="preserve">   </v>
          </cell>
          <cell r="G905">
            <v>2919038</v>
          </cell>
          <cell r="H905">
            <v>-995069</v>
          </cell>
          <cell r="I905">
            <v>0</v>
          </cell>
          <cell r="J905">
            <v>0</v>
          </cell>
          <cell r="K905">
            <v>-995069</v>
          </cell>
          <cell r="L905">
            <v>0</v>
          </cell>
        </row>
        <row r="906">
          <cell r="A906">
            <v>1</v>
          </cell>
          <cell r="B906">
            <v>9</v>
          </cell>
          <cell r="C906">
            <v>190</v>
          </cell>
          <cell r="D906">
            <v>61</v>
          </cell>
          <cell r="E906" t="str">
            <v xml:space="preserve">    </v>
          </cell>
          <cell r="F906" t="str">
            <v xml:space="preserve">   </v>
          </cell>
          <cell r="G906">
            <v>1919061</v>
          </cell>
          <cell r="H906">
            <v>624</v>
          </cell>
          <cell r="I906">
            <v>0</v>
          </cell>
          <cell r="J906">
            <v>624</v>
          </cell>
          <cell r="K906">
            <v>0</v>
          </cell>
          <cell r="L906">
            <v>0</v>
          </cell>
        </row>
        <row r="907">
          <cell r="A907">
            <v>2</v>
          </cell>
          <cell r="B907">
            <v>9</v>
          </cell>
          <cell r="C907">
            <v>190</v>
          </cell>
          <cell r="D907">
            <v>61</v>
          </cell>
          <cell r="E907" t="str">
            <v xml:space="preserve">    </v>
          </cell>
          <cell r="F907" t="str">
            <v xml:space="preserve">   </v>
          </cell>
          <cell r="G907">
            <v>2919061</v>
          </cell>
          <cell r="H907">
            <v>348311</v>
          </cell>
          <cell r="I907">
            <v>0</v>
          </cell>
          <cell r="J907">
            <v>348311</v>
          </cell>
          <cell r="K907">
            <v>0</v>
          </cell>
          <cell r="L907">
            <v>0</v>
          </cell>
        </row>
        <row r="908">
          <cell r="A908">
            <v>1</v>
          </cell>
          <cell r="B908">
            <v>9</v>
          </cell>
          <cell r="C908">
            <v>190</v>
          </cell>
          <cell r="D908">
            <v>63</v>
          </cell>
          <cell r="E908" t="str">
            <v xml:space="preserve">    </v>
          </cell>
          <cell r="F908" t="str">
            <v xml:space="preserve">   </v>
          </cell>
          <cell r="G908">
            <v>1919063</v>
          </cell>
          <cell r="H908">
            <v>14168</v>
          </cell>
          <cell r="I908">
            <v>0</v>
          </cell>
          <cell r="J908">
            <v>0</v>
          </cell>
          <cell r="K908">
            <v>14168</v>
          </cell>
          <cell r="L908">
            <v>0</v>
          </cell>
        </row>
        <row r="909">
          <cell r="A909">
            <v>2</v>
          </cell>
          <cell r="B909">
            <v>9</v>
          </cell>
          <cell r="C909">
            <v>190</v>
          </cell>
          <cell r="D909">
            <v>63</v>
          </cell>
          <cell r="E909" t="str">
            <v xml:space="preserve">    </v>
          </cell>
          <cell r="F909" t="str">
            <v xml:space="preserve">   </v>
          </cell>
          <cell r="G909">
            <v>2919063</v>
          </cell>
          <cell r="H909">
            <v>318700</v>
          </cell>
          <cell r="I909">
            <v>0</v>
          </cell>
          <cell r="J909">
            <v>0</v>
          </cell>
          <cell r="K909">
            <v>318700</v>
          </cell>
          <cell r="L909">
            <v>0</v>
          </cell>
        </row>
        <row r="910">
          <cell r="A910">
            <v>1</v>
          </cell>
          <cell r="B910">
            <v>9</v>
          </cell>
          <cell r="C910">
            <v>190</v>
          </cell>
          <cell r="D910">
            <v>64</v>
          </cell>
          <cell r="E910" t="str">
            <v xml:space="preserve">    </v>
          </cell>
          <cell r="F910" t="str">
            <v xml:space="preserve">   </v>
          </cell>
          <cell r="G910">
            <v>1919064</v>
          </cell>
          <cell r="H910">
            <v>693</v>
          </cell>
          <cell r="I910">
            <v>0</v>
          </cell>
          <cell r="J910">
            <v>693</v>
          </cell>
          <cell r="K910">
            <v>0</v>
          </cell>
          <cell r="L910">
            <v>0</v>
          </cell>
        </row>
        <row r="911">
          <cell r="A911">
            <v>2</v>
          </cell>
          <cell r="B911">
            <v>9</v>
          </cell>
          <cell r="C911">
            <v>190</v>
          </cell>
          <cell r="D911">
            <v>64</v>
          </cell>
          <cell r="E911" t="str">
            <v xml:space="preserve">    </v>
          </cell>
          <cell r="F911" t="str">
            <v xml:space="preserve">   </v>
          </cell>
          <cell r="G911">
            <v>2919064</v>
          </cell>
          <cell r="H911">
            <v>103855</v>
          </cell>
          <cell r="I911">
            <v>0</v>
          </cell>
          <cell r="J911">
            <v>103855</v>
          </cell>
          <cell r="K911">
            <v>0</v>
          </cell>
          <cell r="L911">
            <v>0</v>
          </cell>
        </row>
        <row r="912">
          <cell r="A912">
            <v>1</v>
          </cell>
          <cell r="B912">
            <v>9</v>
          </cell>
          <cell r="C912">
            <v>190</v>
          </cell>
          <cell r="D912">
            <v>65</v>
          </cell>
          <cell r="E912" t="str">
            <v xml:space="preserve">    </v>
          </cell>
          <cell r="F912" t="str">
            <v xml:space="preserve">   </v>
          </cell>
          <cell r="G912">
            <v>1919065</v>
          </cell>
          <cell r="H912">
            <v>15952</v>
          </cell>
          <cell r="I912">
            <v>0</v>
          </cell>
          <cell r="J912">
            <v>0</v>
          </cell>
          <cell r="K912">
            <v>15952</v>
          </cell>
          <cell r="L912">
            <v>0</v>
          </cell>
        </row>
        <row r="913">
          <cell r="A913">
            <v>2</v>
          </cell>
          <cell r="B913">
            <v>9</v>
          </cell>
          <cell r="C913">
            <v>190</v>
          </cell>
          <cell r="D913">
            <v>65</v>
          </cell>
          <cell r="E913" t="str">
            <v xml:space="preserve">    </v>
          </cell>
          <cell r="F913" t="str">
            <v xml:space="preserve">   </v>
          </cell>
          <cell r="G913">
            <v>2919065</v>
          </cell>
          <cell r="H913">
            <v>93578</v>
          </cell>
          <cell r="I913">
            <v>0</v>
          </cell>
          <cell r="J913">
            <v>0</v>
          </cell>
          <cell r="K913">
            <v>93578</v>
          </cell>
          <cell r="L913">
            <v>0</v>
          </cell>
        </row>
        <row r="914">
          <cell r="A914">
            <v>1</v>
          </cell>
          <cell r="B914">
            <v>9</v>
          </cell>
          <cell r="C914">
            <v>190</v>
          </cell>
          <cell r="D914">
            <v>68</v>
          </cell>
          <cell r="E914" t="str">
            <v xml:space="preserve">    </v>
          </cell>
          <cell r="F914" t="str">
            <v xml:space="preserve">   </v>
          </cell>
          <cell r="G914">
            <v>1919068</v>
          </cell>
          <cell r="H914">
            <v>1907</v>
          </cell>
          <cell r="I914">
            <v>0</v>
          </cell>
          <cell r="J914">
            <v>1907</v>
          </cell>
          <cell r="K914">
            <v>0</v>
          </cell>
          <cell r="L914">
            <v>0</v>
          </cell>
        </row>
        <row r="915">
          <cell r="A915">
            <v>2</v>
          </cell>
          <cell r="B915">
            <v>9</v>
          </cell>
          <cell r="C915">
            <v>190</v>
          </cell>
          <cell r="D915">
            <v>68</v>
          </cell>
          <cell r="E915" t="str">
            <v xml:space="preserve">    </v>
          </cell>
          <cell r="F915" t="str">
            <v xml:space="preserve">   </v>
          </cell>
          <cell r="G915">
            <v>2919068</v>
          </cell>
          <cell r="H915">
            <v>16576</v>
          </cell>
          <cell r="I915">
            <v>0</v>
          </cell>
          <cell r="J915">
            <v>16576</v>
          </cell>
          <cell r="K915">
            <v>0</v>
          </cell>
          <cell r="L915">
            <v>0</v>
          </cell>
        </row>
        <row r="916">
          <cell r="A916">
            <v>1</v>
          </cell>
          <cell r="B916">
            <v>9</v>
          </cell>
          <cell r="C916">
            <v>190</v>
          </cell>
          <cell r="D916">
            <v>78</v>
          </cell>
          <cell r="E916" t="str">
            <v xml:space="preserve">    </v>
          </cell>
          <cell r="F916" t="str">
            <v xml:space="preserve">   </v>
          </cell>
          <cell r="G916">
            <v>1919078</v>
          </cell>
          <cell r="H916">
            <v>1968</v>
          </cell>
          <cell r="I916">
            <v>0</v>
          </cell>
          <cell r="J916">
            <v>0</v>
          </cell>
          <cell r="K916">
            <v>1968</v>
          </cell>
          <cell r="L916">
            <v>0</v>
          </cell>
        </row>
        <row r="917">
          <cell r="A917">
            <v>2</v>
          </cell>
          <cell r="B917">
            <v>9</v>
          </cell>
          <cell r="C917">
            <v>190</v>
          </cell>
          <cell r="D917">
            <v>78</v>
          </cell>
          <cell r="E917" t="str">
            <v xml:space="preserve">    </v>
          </cell>
          <cell r="F917" t="str">
            <v xml:space="preserve">   </v>
          </cell>
          <cell r="G917">
            <v>2919078</v>
          </cell>
          <cell r="H917">
            <v>1619</v>
          </cell>
          <cell r="I917">
            <v>0</v>
          </cell>
          <cell r="J917">
            <v>0</v>
          </cell>
          <cell r="K917">
            <v>1619</v>
          </cell>
          <cell r="L917">
            <v>0</v>
          </cell>
        </row>
        <row r="918">
          <cell r="A918">
            <v>1</v>
          </cell>
          <cell r="B918">
            <v>9</v>
          </cell>
          <cell r="C918">
            <v>190</v>
          </cell>
          <cell r="D918">
            <v>85</v>
          </cell>
          <cell r="E918" t="str">
            <v xml:space="preserve">    </v>
          </cell>
          <cell r="F918" t="str">
            <v xml:space="preserve">   </v>
          </cell>
          <cell r="G918">
            <v>1919085</v>
          </cell>
          <cell r="H918">
            <v>-5719</v>
          </cell>
          <cell r="I918">
            <v>-5719</v>
          </cell>
          <cell r="J918">
            <v>0</v>
          </cell>
          <cell r="K918">
            <v>0</v>
          </cell>
          <cell r="L918">
            <v>0</v>
          </cell>
        </row>
        <row r="919">
          <cell r="A919">
            <v>2</v>
          </cell>
          <cell r="B919">
            <v>9</v>
          </cell>
          <cell r="C919">
            <v>190</v>
          </cell>
          <cell r="D919">
            <v>85</v>
          </cell>
          <cell r="E919" t="str">
            <v xml:space="preserve">    </v>
          </cell>
          <cell r="F919" t="str">
            <v xml:space="preserve">   </v>
          </cell>
          <cell r="G919">
            <v>2919085</v>
          </cell>
          <cell r="H919">
            <v>-67347.77</v>
          </cell>
          <cell r="I919">
            <v>-67347.77</v>
          </cell>
          <cell r="J919">
            <v>0</v>
          </cell>
          <cell r="K919">
            <v>0</v>
          </cell>
          <cell r="L919">
            <v>0</v>
          </cell>
        </row>
        <row r="920">
          <cell r="A920">
            <v>1</v>
          </cell>
          <cell r="B920">
            <v>9</v>
          </cell>
          <cell r="C920">
            <v>190</v>
          </cell>
          <cell r="D920">
            <v>86</v>
          </cell>
          <cell r="E920" t="str">
            <v xml:space="preserve">    </v>
          </cell>
          <cell r="F920" t="str">
            <v xml:space="preserve">   </v>
          </cell>
          <cell r="G920">
            <v>1919086</v>
          </cell>
          <cell r="H920">
            <v>-1907</v>
          </cell>
          <cell r="I920">
            <v>-1907</v>
          </cell>
          <cell r="J920">
            <v>0</v>
          </cell>
          <cell r="K920">
            <v>0</v>
          </cell>
          <cell r="L920">
            <v>0</v>
          </cell>
        </row>
        <row r="921">
          <cell r="A921">
            <v>2</v>
          </cell>
          <cell r="B921">
            <v>9</v>
          </cell>
          <cell r="C921">
            <v>190</v>
          </cell>
          <cell r="D921">
            <v>86</v>
          </cell>
          <cell r="E921" t="str">
            <v xml:space="preserve">    </v>
          </cell>
          <cell r="F921" t="str">
            <v xml:space="preserve">   </v>
          </cell>
          <cell r="G921">
            <v>2919086</v>
          </cell>
          <cell r="H921">
            <v>-22451.919999999998</v>
          </cell>
          <cell r="I921">
            <v>-22451.919999999998</v>
          </cell>
          <cell r="J921">
            <v>0</v>
          </cell>
          <cell r="K921">
            <v>0</v>
          </cell>
          <cell r="L921">
            <v>0</v>
          </cell>
        </row>
        <row r="922">
          <cell r="A922">
            <v>1</v>
          </cell>
          <cell r="B922">
            <v>9</v>
          </cell>
          <cell r="C922">
            <v>190</v>
          </cell>
          <cell r="D922">
            <v>88</v>
          </cell>
          <cell r="E922" t="str">
            <v xml:space="preserve">    </v>
          </cell>
          <cell r="F922" t="str">
            <v xml:space="preserve">   </v>
          </cell>
          <cell r="G922">
            <v>1919088</v>
          </cell>
          <cell r="H922">
            <v>261835</v>
          </cell>
          <cell r="I922">
            <v>0</v>
          </cell>
          <cell r="J922">
            <v>261835</v>
          </cell>
          <cell r="K922">
            <v>0</v>
          </cell>
          <cell r="L922">
            <v>0</v>
          </cell>
        </row>
        <row r="923">
          <cell r="A923">
            <v>2</v>
          </cell>
          <cell r="B923">
            <v>9</v>
          </cell>
          <cell r="C923">
            <v>190</v>
          </cell>
          <cell r="D923">
            <v>88</v>
          </cell>
          <cell r="E923" t="str">
            <v xml:space="preserve">    </v>
          </cell>
          <cell r="F923" t="str">
            <v xml:space="preserve">   </v>
          </cell>
          <cell r="G923">
            <v>2919088</v>
          </cell>
          <cell r="H923">
            <v>1211219.3400000001</v>
          </cell>
          <cell r="I923">
            <v>0</v>
          </cell>
          <cell r="J923">
            <v>1211219.3400000001</v>
          </cell>
          <cell r="K923">
            <v>0</v>
          </cell>
          <cell r="L923">
            <v>0</v>
          </cell>
        </row>
        <row r="924">
          <cell r="A924">
            <v>1</v>
          </cell>
          <cell r="B924">
            <v>9</v>
          </cell>
          <cell r="C924">
            <v>252</v>
          </cell>
          <cell r="D924">
            <v>10</v>
          </cell>
          <cell r="E924" t="str">
            <v xml:space="preserve">    </v>
          </cell>
          <cell r="F924" t="str">
            <v xml:space="preserve">   </v>
          </cell>
          <cell r="G924">
            <v>1925210</v>
          </cell>
          <cell r="H924">
            <v>-466.69</v>
          </cell>
          <cell r="I924">
            <v>-466.69</v>
          </cell>
          <cell r="J924">
            <v>0</v>
          </cell>
          <cell r="K924">
            <v>0</v>
          </cell>
          <cell r="L924">
            <v>0</v>
          </cell>
        </row>
        <row r="925">
          <cell r="A925">
            <v>2</v>
          </cell>
          <cell r="B925">
            <v>9</v>
          </cell>
          <cell r="C925">
            <v>252</v>
          </cell>
          <cell r="D925">
            <v>10</v>
          </cell>
          <cell r="E925" t="str">
            <v xml:space="preserve">    </v>
          </cell>
          <cell r="F925" t="str">
            <v xml:space="preserve">   </v>
          </cell>
          <cell r="G925">
            <v>2925210</v>
          </cell>
          <cell r="H925">
            <v>-32219</v>
          </cell>
          <cell r="I925">
            <v>-32219</v>
          </cell>
          <cell r="J925">
            <v>0</v>
          </cell>
          <cell r="K925">
            <v>0</v>
          </cell>
          <cell r="L925">
            <v>0</v>
          </cell>
        </row>
        <row r="926">
          <cell r="A926">
            <v>1</v>
          </cell>
          <cell r="B926">
            <v>9</v>
          </cell>
          <cell r="C926">
            <v>252</v>
          </cell>
          <cell r="D926">
            <v>30</v>
          </cell>
          <cell r="E926" t="str">
            <v xml:space="preserve">    </v>
          </cell>
          <cell r="F926" t="str">
            <v xml:space="preserve">   </v>
          </cell>
          <cell r="G926">
            <v>1925230</v>
          </cell>
          <cell r="H926">
            <v>35735</v>
          </cell>
          <cell r="I926">
            <v>0</v>
          </cell>
          <cell r="J926">
            <v>531</v>
          </cell>
          <cell r="K926">
            <v>35204</v>
          </cell>
          <cell r="L926">
            <v>0</v>
          </cell>
        </row>
        <row r="927">
          <cell r="A927">
            <v>2</v>
          </cell>
          <cell r="B927">
            <v>9</v>
          </cell>
          <cell r="C927">
            <v>252</v>
          </cell>
          <cell r="D927">
            <v>30</v>
          </cell>
          <cell r="E927" t="str">
            <v xml:space="preserve">    </v>
          </cell>
          <cell r="F927" t="str">
            <v xml:space="preserve">   </v>
          </cell>
          <cell r="G927">
            <v>2925230</v>
          </cell>
          <cell r="H927">
            <v>154390.37</v>
          </cell>
          <cell r="I927">
            <v>0</v>
          </cell>
          <cell r="J927">
            <v>69615.600000000006</v>
          </cell>
          <cell r="K927">
            <v>84774.77</v>
          </cell>
          <cell r="L927">
            <v>0</v>
          </cell>
        </row>
        <row r="928">
          <cell r="A928">
            <v>1</v>
          </cell>
          <cell r="B928">
            <v>9</v>
          </cell>
          <cell r="C928">
            <v>253</v>
          </cell>
          <cell r="D928">
            <v>38</v>
          </cell>
          <cell r="E928" t="str">
            <v xml:space="preserve">    </v>
          </cell>
          <cell r="F928" t="str">
            <v xml:space="preserve">   </v>
          </cell>
          <cell r="G928">
            <v>1925338</v>
          </cell>
          <cell r="H928">
            <v>3552683</v>
          </cell>
          <cell r="I928">
            <v>0</v>
          </cell>
          <cell r="J928">
            <v>0</v>
          </cell>
          <cell r="K928">
            <v>3552683</v>
          </cell>
          <cell r="L928">
            <v>0</v>
          </cell>
        </row>
        <row r="929">
          <cell r="A929">
            <v>2</v>
          </cell>
          <cell r="B929">
            <v>9</v>
          </cell>
          <cell r="C929">
            <v>253</v>
          </cell>
          <cell r="D929">
            <v>38</v>
          </cell>
          <cell r="E929" t="str">
            <v xml:space="preserve">    </v>
          </cell>
          <cell r="F929" t="str">
            <v xml:space="preserve">   </v>
          </cell>
          <cell r="G929">
            <v>2925338</v>
          </cell>
          <cell r="H929">
            <v>4064951</v>
          </cell>
          <cell r="I929">
            <v>0</v>
          </cell>
          <cell r="J929">
            <v>0</v>
          </cell>
          <cell r="K929">
            <v>4064951</v>
          </cell>
          <cell r="L929">
            <v>0</v>
          </cell>
        </row>
        <row r="930">
          <cell r="A930">
            <v>1</v>
          </cell>
          <cell r="B930">
            <v>9</v>
          </cell>
          <cell r="C930">
            <v>253</v>
          </cell>
          <cell r="D930">
            <v>85</v>
          </cell>
          <cell r="E930" t="str">
            <v xml:space="preserve">    </v>
          </cell>
          <cell r="F930" t="str">
            <v xml:space="preserve">   </v>
          </cell>
          <cell r="G930">
            <v>1925385</v>
          </cell>
          <cell r="H930">
            <v>16341</v>
          </cell>
          <cell r="I930">
            <v>16341</v>
          </cell>
          <cell r="J930">
            <v>0</v>
          </cell>
          <cell r="K930">
            <v>0</v>
          </cell>
          <cell r="L930">
            <v>0</v>
          </cell>
        </row>
        <row r="931">
          <cell r="A931">
            <v>2</v>
          </cell>
          <cell r="B931">
            <v>9</v>
          </cell>
          <cell r="C931">
            <v>253</v>
          </cell>
          <cell r="D931">
            <v>85</v>
          </cell>
          <cell r="E931" t="str">
            <v xml:space="preserve">    </v>
          </cell>
          <cell r="F931" t="str">
            <v xml:space="preserve">   </v>
          </cell>
          <cell r="G931">
            <v>2925385</v>
          </cell>
          <cell r="H931">
            <v>196092</v>
          </cell>
          <cell r="I931">
            <v>196092</v>
          </cell>
          <cell r="J931">
            <v>0</v>
          </cell>
          <cell r="K931">
            <v>0</v>
          </cell>
          <cell r="L931">
            <v>0</v>
          </cell>
        </row>
        <row r="932">
          <cell r="A932">
            <v>1</v>
          </cell>
          <cell r="B932">
            <v>9</v>
          </cell>
          <cell r="C932">
            <v>253</v>
          </cell>
          <cell r="D932">
            <v>86</v>
          </cell>
          <cell r="E932" t="str">
            <v xml:space="preserve">    </v>
          </cell>
          <cell r="F932" t="str">
            <v xml:space="preserve">   </v>
          </cell>
          <cell r="G932">
            <v>1925386</v>
          </cell>
          <cell r="H932">
            <v>5447</v>
          </cell>
          <cell r="I932">
            <v>5447</v>
          </cell>
          <cell r="J932">
            <v>0</v>
          </cell>
          <cell r="K932">
            <v>0</v>
          </cell>
          <cell r="L932">
            <v>0</v>
          </cell>
        </row>
        <row r="933">
          <cell r="A933">
            <v>2</v>
          </cell>
          <cell r="B933">
            <v>9</v>
          </cell>
          <cell r="C933">
            <v>253</v>
          </cell>
          <cell r="D933">
            <v>86</v>
          </cell>
          <cell r="E933" t="str">
            <v xml:space="preserve">    </v>
          </cell>
          <cell r="F933" t="str">
            <v xml:space="preserve">   </v>
          </cell>
          <cell r="G933">
            <v>2925386</v>
          </cell>
          <cell r="H933">
            <v>65364</v>
          </cell>
          <cell r="I933">
            <v>65364</v>
          </cell>
          <cell r="J933">
            <v>0</v>
          </cell>
          <cell r="K933">
            <v>0</v>
          </cell>
          <cell r="L933">
            <v>0</v>
          </cell>
        </row>
        <row r="934">
          <cell r="A934">
            <v>1</v>
          </cell>
          <cell r="B934">
            <v>9</v>
          </cell>
          <cell r="C934">
            <v>282</v>
          </cell>
          <cell r="D934">
            <v>10</v>
          </cell>
          <cell r="E934" t="str">
            <v xml:space="preserve">    </v>
          </cell>
          <cell r="F934" t="str">
            <v xml:space="preserve">   </v>
          </cell>
          <cell r="G934">
            <v>1928210</v>
          </cell>
          <cell r="H934">
            <v>13273</v>
          </cell>
          <cell r="I934">
            <v>0</v>
          </cell>
          <cell r="J934">
            <v>0</v>
          </cell>
          <cell r="K934">
            <v>13273</v>
          </cell>
          <cell r="L934">
            <v>0</v>
          </cell>
        </row>
        <row r="935">
          <cell r="A935">
            <v>2</v>
          </cell>
          <cell r="B935">
            <v>9</v>
          </cell>
          <cell r="C935">
            <v>282</v>
          </cell>
          <cell r="D935">
            <v>10</v>
          </cell>
          <cell r="E935" t="str">
            <v xml:space="preserve">    </v>
          </cell>
          <cell r="F935" t="str">
            <v xml:space="preserve">   </v>
          </cell>
          <cell r="G935">
            <v>2928210</v>
          </cell>
          <cell r="H935">
            <v>159276</v>
          </cell>
          <cell r="I935">
            <v>0</v>
          </cell>
          <cell r="J935">
            <v>0</v>
          </cell>
          <cell r="K935">
            <v>159276</v>
          </cell>
          <cell r="L935">
            <v>0</v>
          </cell>
        </row>
        <row r="936">
          <cell r="A936">
            <v>1</v>
          </cell>
          <cell r="B936">
            <v>9</v>
          </cell>
          <cell r="C936">
            <v>282</v>
          </cell>
          <cell r="D936">
            <v>40</v>
          </cell>
          <cell r="E936" t="str">
            <v xml:space="preserve">    </v>
          </cell>
          <cell r="F936" t="str">
            <v xml:space="preserve">   </v>
          </cell>
          <cell r="G936">
            <v>1928240</v>
          </cell>
          <cell r="H936">
            <v>-26690</v>
          </cell>
          <cell r="I936">
            <v>-26690</v>
          </cell>
          <cell r="J936">
            <v>0</v>
          </cell>
          <cell r="K936">
            <v>0</v>
          </cell>
          <cell r="L936">
            <v>0</v>
          </cell>
        </row>
        <row r="937">
          <cell r="A937">
            <v>2</v>
          </cell>
          <cell r="B937">
            <v>9</v>
          </cell>
          <cell r="C937">
            <v>282</v>
          </cell>
          <cell r="D937">
            <v>40</v>
          </cell>
          <cell r="E937" t="str">
            <v xml:space="preserve">    </v>
          </cell>
          <cell r="F937" t="str">
            <v xml:space="preserve">   </v>
          </cell>
          <cell r="G937">
            <v>2928240</v>
          </cell>
          <cell r="H937">
            <v>-418190</v>
          </cell>
          <cell r="I937">
            <v>-418190</v>
          </cell>
          <cell r="J937">
            <v>0</v>
          </cell>
          <cell r="K937">
            <v>0</v>
          </cell>
          <cell r="L937">
            <v>0</v>
          </cell>
        </row>
        <row r="938">
          <cell r="A938">
            <v>1</v>
          </cell>
          <cell r="B938">
            <v>9</v>
          </cell>
          <cell r="C938">
            <v>282</v>
          </cell>
          <cell r="D938">
            <v>41</v>
          </cell>
          <cell r="E938" t="str">
            <v xml:space="preserve">    </v>
          </cell>
          <cell r="F938" t="str">
            <v xml:space="preserve">   </v>
          </cell>
          <cell r="G938">
            <v>1928241</v>
          </cell>
          <cell r="H938">
            <v>-8220</v>
          </cell>
          <cell r="I938">
            <v>-8220</v>
          </cell>
          <cell r="J938">
            <v>0</v>
          </cell>
          <cell r="K938">
            <v>0</v>
          </cell>
          <cell r="L938">
            <v>0</v>
          </cell>
        </row>
        <row r="939">
          <cell r="A939">
            <v>2</v>
          </cell>
          <cell r="B939">
            <v>9</v>
          </cell>
          <cell r="C939">
            <v>282</v>
          </cell>
          <cell r="D939">
            <v>41</v>
          </cell>
          <cell r="E939" t="str">
            <v xml:space="preserve">    </v>
          </cell>
          <cell r="F939" t="str">
            <v xml:space="preserve">   </v>
          </cell>
          <cell r="G939">
            <v>2928241</v>
          </cell>
          <cell r="H939">
            <v>-109720</v>
          </cell>
          <cell r="I939">
            <v>-109720</v>
          </cell>
          <cell r="J939">
            <v>0</v>
          </cell>
          <cell r="K939">
            <v>0</v>
          </cell>
          <cell r="L939">
            <v>0</v>
          </cell>
        </row>
        <row r="940">
          <cell r="A940">
            <v>1</v>
          </cell>
          <cell r="B940">
            <v>9</v>
          </cell>
          <cell r="C940">
            <v>282</v>
          </cell>
          <cell r="D940">
            <v>42</v>
          </cell>
          <cell r="E940" t="str">
            <v xml:space="preserve">    </v>
          </cell>
          <cell r="F940" t="str">
            <v xml:space="preserve">   </v>
          </cell>
          <cell r="G940">
            <v>1928242</v>
          </cell>
          <cell r="H940">
            <v>2550</v>
          </cell>
          <cell r="I940">
            <v>2550</v>
          </cell>
          <cell r="J940">
            <v>0</v>
          </cell>
          <cell r="K940">
            <v>0</v>
          </cell>
          <cell r="L940">
            <v>0</v>
          </cell>
        </row>
        <row r="941">
          <cell r="A941">
            <v>2</v>
          </cell>
          <cell r="B941">
            <v>9</v>
          </cell>
          <cell r="C941">
            <v>282</v>
          </cell>
          <cell r="D941">
            <v>42</v>
          </cell>
          <cell r="E941" t="str">
            <v xml:space="preserve">    </v>
          </cell>
          <cell r="F941" t="str">
            <v xml:space="preserve">   </v>
          </cell>
          <cell r="G941">
            <v>2928242</v>
          </cell>
          <cell r="H941">
            <v>-41260</v>
          </cell>
          <cell r="I941">
            <v>-41260</v>
          </cell>
          <cell r="J941">
            <v>0</v>
          </cell>
          <cell r="K941">
            <v>0</v>
          </cell>
          <cell r="L941">
            <v>0</v>
          </cell>
        </row>
        <row r="942">
          <cell r="A942">
            <v>1</v>
          </cell>
          <cell r="B942">
            <v>9</v>
          </cell>
          <cell r="C942">
            <v>282</v>
          </cell>
          <cell r="D942">
            <v>47</v>
          </cell>
          <cell r="E942" t="str">
            <v xml:space="preserve">    </v>
          </cell>
          <cell r="F942" t="str">
            <v xml:space="preserve">   </v>
          </cell>
          <cell r="G942">
            <v>1928247</v>
          </cell>
          <cell r="H942">
            <v>-46644</v>
          </cell>
          <cell r="I942">
            <v>-46644</v>
          </cell>
          <cell r="J942">
            <v>0</v>
          </cell>
          <cell r="K942">
            <v>0</v>
          </cell>
          <cell r="L942">
            <v>0</v>
          </cell>
        </row>
        <row r="943">
          <cell r="A943">
            <v>2</v>
          </cell>
          <cell r="B943">
            <v>9</v>
          </cell>
          <cell r="C943">
            <v>282</v>
          </cell>
          <cell r="D943">
            <v>47</v>
          </cell>
          <cell r="E943" t="str">
            <v xml:space="preserve">    </v>
          </cell>
          <cell r="F943" t="str">
            <v xml:space="preserve">   </v>
          </cell>
          <cell r="G943">
            <v>2928247</v>
          </cell>
          <cell r="H943">
            <v>-151098</v>
          </cell>
          <cell r="I943">
            <v>-151098</v>
          </cell>
          <cell r="J943">
            <v>0</v>
          </cell>
          <cell r="K943">
            <v>0</v>
          </cell>
          <cell r="L943">
            <v>0</v>
          </cell>
        </row>
        <row r="944">
          <cell r="A944">
            <v>1</v>
          </cell>
          <cell r="B944">
            <v>9</v>
          </cell>
          <cell r="C944">
            <v>282</v>
          </cell>
          <cell r="D944">
            <v>48</v>
          </cell>
          <cell r="E944" t="str">
            <v xml:space="preserve">    </v>
          </cell>
          <cell r="F944" t="str">
            <v xml:space="preserve">   </v>
          </cell>
          <cell r="G944">
            <v>1928248</v>
          </cell>
          <cell r="H944">
            <v>-977</v>
          </cell>
          <cell r="I944">
            <v>-977</v>
          </cell>
          <cell r="J944">
            <v>0</v>
          </cell>
          <cell r="K944">
            <v>0</v>
          </cell>
          <cell r="L944">
            <v>0</v>
          </cell>
        </row>
        <row r="945">
          <cell r="A945">
            <v>2</v>
          </cell>
          <cell r="B945">
            <v>9</v>
          </cell>
          <cell r="C945">
            <v>282</v>
          </cell>
          <cell r="D945">
            <v>48</v>
          </cell>
          <cell r="E945" t="str">
            <v xml:space="preserve">    </v>
          </cell>
          <cell r="F945" t="str">
            <v xml:space="preserve">   </v>
          </cell>
          <cell r="G945">
            <v>2928248</v>
          </cell>
          <cell r="H945">
            <v>-1994</v>
          </cell>
          <cell r="I945">
            <v>-1994</v>
          </cell>
          <cell r="J945">
            <v>0</v>
          </cell>
          <cell r="K945">
            <v>0</v>
          </cell>
          <cell r="L945">
            <v>0</v>
          </cell>
        </row>
        <row r="946">
          <cell r="A946">
            <v>1</v>
          </cell>
          <cell r="B946">
            <v>9</v>
          </cell>
          <cell r="C946">
            <v>282</v>
          </cell>
          <cell r="D946">
            <v>49</v>
          </cell>
          <cell r="E946" t="str">
            <v xml:space="preserve">    </v>
          </cell>
          <cell r="F946" t="str">
            <v xml:space="preserve">   </v>
          </cell>
          <cell r="G946">
            <v>1928249</v>
          </cell>
          <cell r="H946">
            <v>-19664</v>
          </cell>
          <cell r="I946">
            <v>-19664</v>
          </cell>
          <cell r="J946">
            <v>0</v>
          </cell>
          <cell r="K946">
            <v>0</v>
          </cell>
          <cell r="L946">
            <v>0</v>
          </cell>
        </row>
        <row r="947">
          <cell r="A947">
            <v>2</v>
          </cell>
          <cell r="B947">
            <v>9</v>
          </cell>
          <cell r="C947">
            <v>282</v>
          </cell>
          <cell r="D947">
            <v>49</v>
          </cell>
          <cell r="E947" t="str">
            <v xml:space="preserve">    </v>
          </cell>
          <cell r="F947" t="str">
            <v xml:space="preserve">   </v>
          </cell>
          <cell r="G947">
            <v>2928249</v>
          </cell>
          <cell r="H947">
            <v>-50858</v>
          </cell>
          <cell r="I947">
            <v>-50858</v>
          </cell>
          <cell r="J947">
            <v>0</v>
          </cell>
          <cell r="K947">
            <v>0</v>
          </cell>
          <cell r="L947">
            <v>0</v>
          </cell>
        </row>
        <row r="948">
          <cell r="A948">
            <v>1</v>
          </cell>
          <cell r="B948">
            <v>9</v>
          </cell>
          <cell r="C948">
            <v>282</v>
          </cell>
          <cell r="D948">
            <v>68</v>
          </cell>
          <cell r="E948" t="str">
            <v xml:space="preserve">    </v>
          </cell>
          <cell r="F948" t="str">
            <v xml:space="preserve">   </v>
          </cell>
          <cell r="G948">
            <v>1928268</v>
          </cell>
          <cell r="H948">
            <v>9921</v>
          </cell>
          <cell r="I948">
            <v>0</v>
          </cell>
          <cell r="J948">
            <v>9921</v>
          </cell>
          <cell r="K948">
            <v>0</v>
          </cell>
          <cell r="L948">
            <v>0</v>
          </cell>
        </row>
        <row r="949">
          <cell r="A949">
            <v>2</v>
          </cell>
          <cell r="B949">
            <v>9</v>
          </cell>
          <cell r="C949">
            <v>282</v>
          </cell>
          <cell r="D949">
            <v>68</v>
          </cell>
          <cell r="E949" t="str">
            <v xml:space="preserve">    </v>
          </cell>
          <cell r="F949" t="str">
            <v xml:space="preserve">   </v>
          </cell>
          <cell r="G949">
            <v>2928268</v>
          </cell>
          <cell r="H949">
            <v>119052</v>
          </cell>
          <cell r="I949">
            <v>0</v>
          </cell>
          <cell r="J949">
            <v>119052</v>
          </cell>
          <cell r="K949">
            <v>0</v>
          </cell>
          <cell r="L949">
            <v>0</v>
          </cell>
        </row>
        <row r="950">
          <cell r="A950">
            <v>1</v>
          </cell>
          <cell r="B950">
            <v>9</v>
          </cell>
          <cell r="C950">
            <v>282</v>
          </cell>
          <cell r="D950">
            <v>78</v>
          </cell>
          <cell r="E950" t="str">
            <v xml:space="preserve">    </v>
          </cell>
          <cell r="F950" t="str">
            <v xml:space="preserve">   </v>
          </cell>
          <cell r="G950">
            <v>1928278</v>
          </cell>
          <cell r="H950">
            <v>1972</v>
          </cell>
          <cell r="I950">
            <v>0</v>
          </cell>
          <cell r="J950">
            <v>0</v>
          </cell>
          <cell r="K950">
            <v>1972</v>
          </cell>
          <cell r="L950">
            <v>0</v>
          </cell>
        </row>
        <row r="951">
          <cell r="A951">
            <v>2</v>
          </cell>
          <cell r="B951">
            <v>9</v>
          </cell>
          <cell r="C951">
            <v>282</v>
          </cell>
          <cell r="D951">
            <v>78</v>
          </cell>
          <cell r="E951" t="str">
            <v xml:space="preserve">    </v>
          </cell>
          <cell r="F951" t="str">
            <v xml:space="preserve">   </v>
          </cell>
          <cell r="G951">
            <v>2928278</v>
          </cell>
          <cell r="H951">
            <v>23684</v>
          </cell>
          <cell r="I951">
            <v>0</v>
          </cell>
          <cell r="J951">
            <v>0</v>
          </cell>
          <cell r="K951">
            <v>23684</v>
          </cell>
          <cell r="L951">
            <v>0</v>
          </cell>
        </row>
        <row r="952">
          <cell r="A952">
            <v>1</v>
          </cell>
          <cell r="B952">
            <v>9</v>
          </cell>
          <cell r="C952">
            <v>282</v>
          </cell>
          <cell r="D952">
            <v>90</v>
          </cell>
          <cell r="E952" t="str">
            <v xml:space="preserve">    </v>
          </cell>
          <cell r="F952" t="str">
            <v xml:space="preserve">   </v>
          </cell>
          <cell r="G952">
            <v>1928290</v>
          </cell>
          <cell r="H952">
            <v>-555802.97</v>
          </cell>
          <cell r="I952">
            <v>-555802.97</v>
          </cell>
          <cell r="J952">
            <v>0</v>
          </cell>
          <cell r="K952">
            <v>0</v>
          </cell>
          <cell r="L952">
            <v>0</v>
          </cell>
        </row>
        <row r="953">
          <cell r="A953">
            <v>2</v>
          </cell>
          <cell r="B953">
            <v>9</v>
          </cell>
          <cell r="C953">
            <v>282</v>
          </cell>
          <cell r="D953">
            <v>90</v>
          </cell>
          <cell r="E953" t="str">
            <v xml:space="preserve">    </v>
          </cell>
          <cell r="F953" t="str">
            <v xml:space="preserve">   </v>
          </cell>
          <cell r="G953">
            <v>2928290</v>
          </cell>
          <cell r="H953">
            <v>-5464325.6399999997</v>
          </cell>
          <cell r="I953">
            <v>-5464325.6399999997</v>
          </cell>
          <cell r="J953">
            <v>0</v>
          </cell>
          <cell r="K953">
            <v>0</v>
          </cell>
          <cell r="L953">
            <v>0</v>
          </cell>
        </row>
        <row r="954">
          <cell r="A954">
            <v>1</v>
          </cell>
          <cell r="B954">
            <v>9</v>
          </cell>
          <cell r="C954">
            <v>282</v>
          </cell>
          <cell r="D954">
            <v>91</v>
          </cell>
          <cell r="E954" t="str">
            <v xml:space="preserve">    </v>
          </cell>
          <cell r="F954" t="str">
            <v xml:space="preserve">   </v>
          </cell>
          <cell r="G954">
            <v>1928291</v>
          </cell>
          <cell r="H954">
            <v>-156307</v>
          </cell>
          <cell r="I954">
            <v>-156307</v>
          </cell>
          <cell r="J954">
            <v>0</v>
          </cell>
          <cell r="K954">
            <v>0</v>
          </cell>
          <cell r="L954">
            <v>0</v>
          </cell>
        </row>
        <row r="955">
          <cell r="A955">
            <v>2</v>
          </cell>
          <cell r="B955">
            <v>9</v>
          </cell>
          <cell r="C955">
            <v>282</v>
          </cell>
          <cell r="D955">
            <v>91</v>
          </cell>
          <cell r="E955" t="str">
            <v xml:space="preserve">    </v>
          </cell>
          <cell r="F955" t="str">
            <v xml:space="preserve">   </v>
          </cell>
          <cell r="G955">
            <v>2928291</v>
          </cell>
          <cell r="H955">
            <v>-1999674</v>
          </cell>
          <cell r="I955">
            <v>-1999674</v>
          </cell>
          <cell r="J955">
            <v>0</v>
          </cell>
          <cell r="K955">
            <v>0</v>
          </cell>
          <cell r="L955">
            <v>0</v>
          </cell>
        </row>
        <row r="956">
          <cell r="A956">
            <v>1</v>
          </cell>
          <cell r="B956">
            <v>9</v>
          </cell>
          <cell r="C956">
            <v>282</v>
          </cell>
          <cell r="D956">
            <v>92</v>
          </cell>
          <cell r="E956" t="str">
            <v xml:space="preserve">    </v>
          </cell>
          <cell r="F956" t="str">
            <v xml:space="preserve">   </v>
          </cell>
          <cell r="G956">
            <v>1928292</v>
          </cell>
          <cell r="H956">
            <v>-112590</v>
          </cell>
          <cell r="I956">
            <v>-112590</v>
          </cell>
          <cell r="J956">
            <v>0</v>
          </cell>
          <cell r="K956">
            <v>0</v>
          </cell>
          <cell r="L956">
            <v>0</v>
          </cell>
        </row>
        <row r="957">
          <cell r="A957">
            <v>2</v>
          </cell>
          <cell r="B957">
            <v>9</v>
          </cell>
          <cell r="C957">
            <v>282</v>
          </cell>
          <cell r="D957">
            <v>92</v>
          </cell>
          <cell r="E957" t="str">
            <v xml:space="preserve">    </v>
          </cell>
          <cell r="F957" t="str">
            <v xml:space="preserve">   </v>
          </cell>
          <cell r="G957">
            <v>2928292</v>
          </cell>
          <cell r="H957">
            <v>-1196890</v>
          </cell>
          <cell r="I957">
            <v>-1196890</v>
          </cell>
          <cell r="J957">
            <v>0</v>
          </cell>
          <cell r="K957">
            <v>0</v>
          </cell>
          <cell r="L957">
            <v>0</v>
          </cell>
        </row>
        <row r="958">
          <cell r="A958">
            <v>1</v>
          </cell>
          <cell r="B958">
            <v>9</v>
          </cell>
          <cell r="C958">
            <v>282</v>
          </cell>
          <cell r="D958">
            <v>97</v>
          </cell>
          <cell r="E958" t="str">
            <v xml:space="preserve">    </v>
          </cell>
          <cell r="F958" t="str">
            <v xml:space="preserve">   </v>
          </cell>
          <cell r="G958">
            <v>1928297</v>
          </cell>
          <cell r="H958">
            <v>-5792</v>
          </cell>
          <cell r="I958">
            <v>-5792</v>
          </cell>
          <cell r="J958">
            <v>0</v>
          </cell>
          <cell r="K958">
            <v>0</v>
          </cell>
          <cell r="L958">
            <v>0</v>
          </cell>
        </row>
        <row r="959">
          <cell r="A959">
            <v>2</v>
          </cell>
          <cell r="B959">
            <v>9</v>
          </cell>
          <cell r="C959">
            <v>282</v>
          </cell>
          <cell r="D959">
            <v>97</v>
          </cell>
          <cell r="E959" t="str">
            <v xml:space="preserve">    </v>
          </cell>
          <cell r="F959" t="str">
            <v xml:space="preserve">   </v>
          </cell>
          <cell r="G959">
            <v>2928297</v>
          </cell>
          <cell r="H959">
            <v>-698804</v>
          </cell>
          <cell r="I959">
            <v>-698804</v>
          </cell>
          <cell r="J959">
            <v>0</v>
          </cell>
          <cell r="K959">
            <v>0</v>
          </cell>
          <cell r="L959">
            <v>0</v>
          </cell>
        </row>
        <row r="960">
          <cell r="A960">
            <v>1</v>
          </cell>
          <cell r="B960">
            <v>9</v>
          </cell>
          <cell r="C960">
            <v>282</v>
          </cell>
          <cell r="D960">
            <v>98</v>
          </cell>
          <cell r="E960" t="str">
            <v xml:space="preserve">    </v>
          </cell>
          <cell r="F960" t="str">
            <v xml:space="preserve">   </v>
          </cell>
          <cell r="G960">
            <v>1928298</v>
          </cell>
          <cell r="H960">
            <v>-5837</v>
          </cell>
          <cell r="I960">
            <v>-5837</v>
          </cell>
          <cell r="J960">
            <v>0</v>
          </cell>
          <cell r="K960">
            <v>0</v>
          </cell>
          <cell r="L960">
            <v>0</v>
          </cell>
        </row>
        <row r="961">
          <cell r="A961">
            <v>2</v>
          </cell>
          <cell r="B961">
            <v>9</v>
          </cell>
          <cell r="C961">
            <v>282</v>
          </cell>
          <cell r="D961">
            <v>98</v>
          </cell>
          <cell r="E961" t="str">
            <v xml:space="preserve">    </v>
          </cell>
          <cell r="F961" t="str">
            <v xml:space="preserve">   </v>
          </cell>
          <cell r="G961">
            <v>2928298</v>
          </cell>
          <cell r="H961">
            <v>-11864</v>
          </cell>
          <cell r="I961">
            <v>-11864</v>
          </cell>
          <cell r="J961">
            <v>0</v>
          </cell>
          <cell r="K961">
            <v>0</v>
          </cell>
          <cell r="L961">
            <v>0</v>
          </cell>
        </row>
        <row r="962">
          <cell r="A962">
            <v>1</v>
          </cell>
          <cell r="B962">
            <v>9</v>
          </cell>
          <cell r="C962">
            <v>282</v>
          </cell>
          <cell r="D962">
            <v>99</v>
          </cell>
          <cell r="E962" t="str">
            <v xml:space="preserve">    </v>
          </cell>
          <cell r="F962" t="str">
            <v xml:space="preserve">   </v>
          </cell>
          <cell r="G962">
            <v>1928299</v>
          </cell>
          <cell r="H962">
            <v>-123016</v>
          </cell>
          <cell r="I962">
            <v>-123016</v>
          </cell>
          <cell r="J962">
            <v>0</v>
          </cell>
          <cell r="K962">
            <v>0</v>
          </cell>
          <cell r="L962">
            <v>0</v>
          </cell>
        </row>
        <row r="963">
          <cell r="A963">
            <v>2</v>
          </cell>
          <cell r="B963">
            <v>9</v>
          </cell>
          <cell r="C963">
            <v>282</v>
          </cell>
          <cell r="D963">
            <v>99</v>
          </cell>
          <cell r="E963" t="str">
            <v xml:space="preserve">    </v>
          </cell>
          <cell r="F963" t="str">
            <v xml:space="preserve">   </v>
          </cell>
          <cell r="G963">
            <v>2928299</v>
          </cell>
          <cell r="H963">
            <v>-352472</v>
          </cell>
          <cell r="I963">
            <v>-352472</v>
          </cell>
          <cell r="J963">
            <v>0</v>
          </cell>
          <cell r="K963">
            <v>0</v>
          </cell>
          <cell r="L963">
            <v>0</v>
          </cell>
        </row>
        <row r="964">
          <cell r="A964">
            <v>1</v>
          </cell>
          <cell r="B964">
            <v>9</v>
          </cell>
          <cell r="C964">
            <v>283</v>
          </cell>
          <cell r="D964">
            <v>15</v>
          </cell>
          <cell r="E964" t="str">
            <v xml:space="preserve">    </v>
          </cell>
          <cell r="F964" t="str">
            <v xml:space="preserve">   </v>
          </cell>
          <cell r="G964">
            <v>1928315</v>
          </cell>
          <cell r="H964">
            <v>21252</v>
          </cell>
          <cell r="I964">
            <v>21252</v>
          </cell>
          <cell r="J964">
            <v>0</v>
          </cell>
          <cell r="K964">
            <v>0</v>
          </cell>
          <cell r="L964">
            <v>0</v>
          </cell>
        </row>
        <row r="965">
          <cell r="A965">
            <v>2</v>
          </cell>
          <cell r="B965">
            <v>9</v>
          </cell>
          <cell r="C965">
            <v>283</v>
          </cell>
          <cell r="D965">
            <v>15</v>
          </cell>
          <cell r="E965" t="str">
            <v xml:space="preserve">    </v>
          </cell>
          <cell r="F965" t="str">
            <v xml:space="preserve">   </v>
          </cell>
          <cell r="G965">
            <v>2928315</v>
          </cell>
          <cell r="H965">
            <v>232599</v>
          </cell>
          <cell r="I965">
            <v>232599</v>
          </cell>
          <cell r="J965">
            <v>0</v>
          </cell>
          <cell r="K965">
            <v>0</v>
          </cell>
          <cell r="L965">
            <v>0</v>
          </cell>
        </row>
        <row r="966">
          <cell r="A966">
            <v>1</v>
          </cell>
          <cell r="B966">
            <v>9</v>
          </cell>
          <cell r="C966">
            <v>283</v>
          </cell>
          <cell r="D966">
            <v>17</v>
          </cell>
          <cell r="E966" t="str">
            <v xml:space="preserve">    </v>
          </cell>
          <cell r="F966" t="str">
            <v xml:space="preserve">   </v>
          </cell>
          <cell r="G966">
            <v>1928317</v>
          </cell>
          <cell r="H966">
            <v>692072</v>
          </cell>
          <cell r="I966">
            <v>692072</v>
          </cell>
          <cell r="J966">
            <v>0</v>
          </cell>
          <cell r="K966">
            <v>0</v>
          </cell>
          <cell r="L966">
            <v>0</v>
          </cell>
        </row>
        <row r="967">
          <cell r="A967">
            <v>2</v>
          </cell>
          <cell r="B967">
            <v>9</v>
          </cell>
          <cell r="C967">
            <v>283</v>
          </cell>
          <cell r="D967">
            <v>17</v>
          </cell>
          <cell r="E967" t="str">
            <v xml:space="preserve">    </v>
          </cell>
          <cell r="F967" t="str">
            <v xml:space="preserve">   </v>
          </cell>
          <cell r="G967">
            <v>2928317</v>
          </cell>
          <cell r="H967">
            <v>3472575</v>
          </cell>
          <cell r="I967">
            <v>3472575</v>
          </cell>
          <cell r="J967">
            <v>0</v>
          </cell>
          <cell r="K967">
            <v>0</v>
          </cell>
          <cell r="L967">
            <v>0</v>
          </cell>
        </row>
        <row r="968">
          <cell r="A968">
            <v>1</v>
          </cell>
          <cell r="B968">
            <v>9</v>
          </cell>
          <cell r="C968">
            <v>283</v>
          </cell>
          <cell r="D968">
            <v>18</v>
          </cell>
          <cell r="E968" t="str">
            <v xml:space="preserve">    </v>
          </cell>
          <cell r="F968" t="str">
            <v xml:space="preserve">   </v>
          </cell>
          <cell r="G968">
            <v>1928318</v>
          </cell>
          <cell r="H968">
            <v>629101</v>
          </cell>
          <cell r="I968">
            <v>629101</v>
          </cell>
          <cell r="J968">
            <v>0</v>
          </cell>
          <cell r="K968">
            <v>0</v>
          </cell>
          <cell r="L968">
            <v>0</v>
          </cell>
        </row>
        <row r="969">
          <cell r="A969">
            <v>2</v>
          </cell>
          <cell r="B969">
            <v>9</v>
          </cell>
          <cell r="C969">
            <v>283</v>
          </cell>
          <cell r="D969">
            <v>18</v>
          </cell>
          <cell r="E969" t="str">
            <v xml:space="preserve">    </v>
          </cell>
          <cell r="F969" t="str">
            <v xml:space="preserve">   </v>
          </cell>
          <cell r="G969">
            <v>2928318</v>
          </cell>
          <cell r="H969">
            <v>2172233</v>
          </cell>
          <cell r="I969">
            <v>2172233</v>
          </cell>
          <cell r="J969">
            <v>0</v>
          </cell>
          <cell r="K969">
            <v>0</v>
          </cell>
          <cell r="L969">
            <v>0</v>
          </cell>
        </row>
        <row r="970">
          <cell r="A970">
            <v>1</v>
          </cell>
          <cell r="B970">
            <v>9</v>
          </cell>
          <cell r="C970">
            <v>283</v>
          </cell>
          <cell r="D970">
            <v>20</v>
          </cell>
          <cell r="E970" t="str">
            <v xml:space="preserve">    </v>
          </cell>
          <cell r="F970" t="str">
            <v xml:space="preserve">   </v>
          </cell>
          <cell r="G970">
            <v>1928320</v>
          </cell>
          <cell r="H970">
            <v>2836.25</v>
          </cell>
          <cell r="I970">
            <v>2836.25</v>
          </cell>
          <cell r="J970">
            <v>0</v>
          </cell>
          <cell r="K970">
            <v>0</v>
          </cell>
          <cell r="L970">
            <v>0</v>
          </cell>
        </row>
        <row r="971">
          <cell r="A971">
            <v>2</v>
          </cell>
          <cell r="B971">
            <v>9</v>
          </cell>
          <cell r="C971">
            <v>283</v>
          </cell>
          <cell r="D971">
            <v>20</v>
          </cell>
          <cell r="E971" t="str">
            <v xml:space="preserve">    </v>
          </cell>
          <cell r="F971" t="str">
            <v xml:space="preserve">   </v>
          </cell>
          <cell r="G971">
            <v>2928320</v>
          </cell>
          <cell r="H971">
            <v>34035</v>
          </cell>
          <cell r="I971">
            <v>34035</v>
          </cell>
          <cell r="J971">
            <v>0</v>
          </cell>
          <cell r="K971">
            <v>0</v>
          </cell>
          <cell r="L971">
            <v>0</v>
          </cell>
        </row>
        <row r="972">
          <cell r="A972">
            <v>1</v>
          </cell>
          <cell r="B972">
            <v>9</v>
          </cell>
          <cell r="C972">
            <v>283</v>
          </cell>
          <cell r="D972">
            <v>28</v>
          </cell>
          <cell r="E972" t="str">
            <v xml:space="preserve">    </v>
          </cell>
          <cell r="F972" t="str">
            <v xml:space="preserve">   </v>
          </cell>
          <cell r="G972">
            <v>1928328</v>
          </cell>
          <cell r="H972">
            <v>0</v>
          </cell>
          <cell r="I972">
            <v>0</v>
          </cell>
          <cell r="J972">
            <v>0</v>
          </cell>
          <cell r="K972">
            <v>0</v>
          </cell>
          <cell r="L972">
            <v>0</v>
          </cell>
        </row>
        <row r="973">
          <cell r="A973">
            <v>2</v>
          </cell>
          <cell r="B973">
            <v>9</v>
          </cell>
          <cell r="C973">
            <v>283</v>
          </cell>
          <cell r="D973">
            <v>28</v>
          </cell>
          <cell r="E973" t="str">
            <v xml:space="preserve">    </v>
          </cell>
          <cell r="F973" t="str">
            <v xml:space="preserve">   </v>
          </cell>
          <cell r="G973">
            <v>2928328</v>
          </cell>
          <cell r="H973">
            <v>14489</v>
          </cell>
          <cell r="I973">
            <v>0</v>
          </cell>
          <cell r="J973">
            <v>14489</v>
          </cell>
          <cell r="K973">
            <v>0</v>
          </cell>
          <cell r="L973">
            <v>0</v>
          </cell>
        </row>
        <row r="974">
          <cell r="A974">
            <v>1</v>
          </cell>
          <cell r="B974">
            <v>9</v>
          </cell>
          <cell r="C974">
            <v>283</v>
          </cell>
          <cell r="D974">
            <v>33</v>
          </cell>
          <cell r="E974" t="str">
            <v xml:space="preserve">    </v>
          </cell>
          <cell r="F974" t="str">
            <v xml:space="preserve">   </v>
          </cell>
          <cell r="G974">
            <v>1928333</v>
          </cell>
          <cell r="H974">
            <v>83567</v>
          </cell>
          <cell r="I974">
            <v>0</v>
          </cell>
          <cell r="J974">
            <v>83567</v>
          </cell>
          <cell r="K974">
            <v>0</v>
          </cell>
          <cell r="L974">
            <v>0</v>
          </cell>
        </row>
        <row r="975">
          <cell r="A975">
            <v>2</v>
          </cell>
          <cell r="B975">
            <v>9</v>
          </cell>
          <cell r="C975">
            <v>283</v>
          </cell>
          <cell r="D975">
            <v>33</v>
          </cell>
          <cell r="E975" t="str">
            <v xml:space="preserve">    </v>
          </cell>
          <cell r="F975" t="str">
            <v xml:space="preserve">   </v>
          </cell>
          <cell r="G975">
            <v>2928333</v>
          </cell>
          <cell r="H975">
            <v>-307769</v>
          </cell>
          <cell r="I975">
            <v>0</v>
          </cell>
          <cell r="J975">
            <v>-307769</v>
          </cell>
          <cell r="K975">
            <v>0</v>
          </cell>
          <cell r="L975">
            <v>0</v>
          </cell>
        </row>
        <row r="976">
          <cell r="A976">
            <v>1</v>
          </cell>
          <cell r="B976">
            <v>9</v>
          </cell>
          <cell r="C976">
            <v>283</v>
          </cell>
          <cell r="D976">
            <v>41</v>
          </cell>
          <cell r="E976" t="str">
            <v xml:space="preserve">    </v>
          </cell>
          <cell r="F976" t="str">
            <v xml:space="preserve">   </v>
          </cell>
          <cell r="G976">
            <v>1928341</v>
          </cell>
          <cell r="H976">
            <v>36094</v>
          </cell>
          <cell r="I976">
            <v>0</v>
          </cell>
          <cell r="J976">
            <v>0</v>
          </cell>
          <cell r="K976">
            <v>36094</v>
          </cell>
          <cell r="L976">
            <v>0</v>
          </cell>
        </row>
        <row r="977">
          <cell r="A977">
            <v>2</v>
          </cell>
          <cell r="B977">
            <v>9</v>
          </cell>
          <cell r="C977">
            <v>283</v>
          </cell>
          <cell r="D977">
            <v>41</v>
          </cell>
          <cell r="E977" t="str">
            <v xml:space="preserve">    </v>
          </cell>
          <cell r="F977" t="str">
            <v xml:space="preserve">   </v>
          </cell>
          <cell r="G977">
            <v>2928341</v>
          </cell>
          <cell r="H977">
            <v>-179733</v>
          </cell>
          <cell r="I977">
            <v>0</v>
          </cell>
          <cell r="J977">
            <v>0</v>
          </cell>
          <cell r="K977">
            <v>-179733</v>
          </cell>
          <cell r="L977">
            <v>0</v>
          </cell>
        </row>
        <row r="978">
          <cell r="A978">
            <v>1</v>
          </cell>
          <cell r="B978">
            <v>9</v>
          </cell>
          <cell r="C978">
            <v>283</v>
          </cell>
          <cell r="D978">
            <v>72</v>
          </cell>
          <cell r="E978" t="str">
            <v xml:space="preserve">    </v>
          </cell>
          <cell r="F978" t="str">
            <v xml:space="preserve">   </v>
          </cell>
          <cell r="G978">
            <v>1928372</v>
          </cell>
          <cell r="H978">
            <v>-124198.55</v>
          </cell>
          <cell r="I978">
            <v>-124198.55</v>
          </cell>
          <cell r="J978">
            <v>0</v>
          </cell>
          <cell r="K978">
            <v>0</v>
          </cell>
          <cell r="L978">
            <v>0</v>
          </cell>
        </row>
        <row r="979">
          <cell r="A979">
            <v>2</v>
          </cell>
          <cell r="B979">
            <v>9</v>
          </cell>
          <cell r="C979">
            <v>283</v>
          </cell>
          <cell r="D979">
            <v>72</v>
          </cell>
          <cell r="E979" t="str">
            <v xml:space="preserve">    </v>
          </cell>
          <cell r="F979" t="str">
            <v xml:space="preserve">   </v>
          </cell>
          <cell r="G979">
            <v>2928372</v>
          </cell>
          <cell r="H979">
            <v>-1490382.61</v>
          </cell>
          <cell r="I979">
            <v>-1490382.61</v>
          </cell>
          <cell r="J979">
            <v>0</v>
          </cell>
          <cell r="K979">
            <v>0</v>
          </cell>
          <cell r="L979">
            <v>0</v>
          </cell>
        </row>
        <row r="980">
          <cell r="A980">
            <v>1</v>
          </cell>
          <cell r="B980">
            <v>9</v>
          </cell>
          <cell r="C980">
            <v>283</v>
          </cell>
          <cell r="D980">
            <v>73</v>
          </cell>
          <cell r="E980" t="str">
            <v xml:space="preserve">    </v>
          </cell>
          <cell r="F980" t="str">
            <v xml:space="preserve">   </v>
          </cell>
          <cell r="G980">
            <v>1928373</v>
          </cell>
          <cell r="H980">
            <v>-15252.91</v>
          </cell>
          <cell r="I980">
            <v>-15252.91</v>
          </cell>
          <cell r="J980">
            <v>0</v>
          </cell>
          <cell r="K980">
            <v>0</v>
          </cell>
          <cell r="L980">
            <v>0</v>
          </cell>
        </row>
        <row r="981">
          <cell r="A981">
            <v>2</v>
          </cell>
          <cell r="B981">
            <v>9</v>
          </cell>
          <cell r="C981">
            <v>283</v>
          </cell>
          <cell r="D981">
            <v>73</v>
          </cell>
          <cell r="E981" t="str">
            <v xml:space="preserve">    </v>
          </cell>
          <cell r="F981" t="str">
            <v xml:space="preserve">   </v>
          </cell>
          <cell r="G981">
            <v>2928373</v>
          </cell>
          <cell r="H981">
            <v>-183034.92</v>
          </cell>
          <cell r="I981">
            <v>-183034.92</v>
          </cell>
          <cell r="J981">
            <v>0</v>
          </cell>
          <cell r="K981">
            <v>0</v>
          </cell>
          <cell r="L981">
            <v>0</v>
          </cell>
        </row>
        <row r="982">
          <cell r="A982">
            <v>1</v>
          </cell>
          <cell r="B982">
            <v>9</v>
          </cell>
          <cell r="C982">
            <v>283</v>
          </cell>
          <cell r="D982">
            <v>74</v>
          </cell>
          <cell r="E982" t="str">
            <v xml:space="preserve">    </v>
          </cell>
          <cell r="F982" t="str">
            <v xml:space="preserve">   </v>
          </cell>
          <cell r="G982">
            <v>1928374</v>
          </cell>
          <cell r="H982">
            <v>6697</v>
          </cell>
          <cell r="I982">
            <v>0</v>
          </cell>
          <cell r="J982">
            <v>3199</v>
          </cell>
          <cell r="K982">
            <v>3498</v>
          </cell>
          <cell r="L982">
            <v>0</v>
          </cell>
        </row>
        <row r="983">
          <cell r="A983">
            <v>2</v>
          </cell>
          <cell r="B983">
            <v>9</v>
          </cell>
          <cell r="C983">
            <v>283</v>
          </cell>
          <cell r="D983">
            <v>74</v>
          </cell>
          <cell r="E983" t="str">
            <v xml:space="preserve">    </v>
          </cell>
          <cell r="F983" t="str">
            <v xml:space="preserve">   </v>
          </cell>
          <cell r="G983">
            <v>2928374</v>
          </cell>
          <cell r="H983">
            <v>80364</v>
          </cell>
          <cell r="I983">
            <v>0</v>
          </cell>
          <cell r="J983">
            <v>38388</v>
          </cell>
          <cell r="K983">
            <v>41976</v>
          </cell>
          <cell r="L983">
            <v>0</v>
          </cell>
        </row>
        <row r="984">
          <cell r="A984">
            <v>1</v>
          </cell>
          <cell r="B984">
            <v>9</v>
          </cell>
          <cell r="C984">
            <v>283</v>
          </cell>
          <cell r="D984">
            <v>75</v>
          </cell>
          <cell r="E984" t="str">
            <v xml:space="preserve">    </v>
          </cell>
          <cell r="F984" t="str">
            <v xml:space="preserve">   </v>
          </cell>
          <cell r="G984">
            <v>1928375</v>
          </cell>
          <cell r="H984">
            <v>1719.58</v>
          </cell>
          <cell r="I984">
            <v>0</v>
          </cell>
          <cell r="J984">
            <v>1251.58</v>
          </cell>
          <cell r="K984">
            <v>468</v>
          </cell>
          <cell r="L984">
            <v>0</v>
          </cell>
        </row>
        <row r="985">
          <cell r="A985">
            <v>2</v>
          </cell>
          <cell r="B985">
            <v>9</v>
          </cell>
          <cell r="C985">
            <v>283</v>
          </cell>
          <cell r="D985">
            <v>75</v>
          </cell>
          <cell r="E985" t="str">
            <v xml:space="preserve">    </v>
          </cell>
          <cell r="F985" t="str">
            <v xml:space="preserve">   </v>
          </cell>
          <cell r="G985">
            <v>2928375</v>
          </cell>
          <cell r="H985">
            <v>20634.96</v>
          </cell>
          <cell r="I985">
            <v>0</v>
          </cell>
          <cell r="J985">
            <v>15018.96</v>
          </cell>
          <cell r="K985">
            <v>5616</v>
          </cell>
          <cell r="L985">
            <v>0</v>
          </cell>
        </row>
        <row r="986">
          <cell r="A986">
            <v>1</v>
          </cell>
          <cell r="B986">
            <v>9</v>
          </cell>
          <cell r="C986">
            <v>283</v>
          </cell>
          <cell r="D986">
            <v>85</v>
          </cell>
          <cell r="E986" t="str">
            <v xml:space="preserve">    </v>
          </cell>
          <cell r="F986" t="str">
            <v xml:space="preserve">   </v>
          </cell>
          <cell r="G986">
            <v>1928385</v>
          </cell>
          <cell r="H986">
            <v>52292.959999999999</v>
          </cell>
          <cell r="I986">
            <v>52292.959999999999</v>
          </cell>
          <cell r="J986">
            <v>0</v>
          </cell>
          <cell r="K986">
            <v>0</v>
          </cell>
          <cell r="L986">
            <v>0</v>
          </cell>
        </row>
        <row r="987">
          <cell r="A987">
            <v>2</v>
          </cell>
          <cell r="B987">
            <v>9</v>
          </cell>
          <cell r="C987">
            <v>283</v>
          </cell>
          <cell r="D987">
            <v>85</v>
          </cell>
          <cell r="E987" t="str">
            <v xml:space="preserve">    </v>
          </cell>
          <cell r="F987" t="str">
            <v xml:space="preserve">   </v>
          </cell>
          <cell r="G987">
            <v>2928385</v>
          </cell>
          <cell r="H987">
            <v>736498</v>
          </cell>
          <cell r="I987">
            <v>736498</v>
          </cell>
          <cell r="J987">
            <v>0</v>
          </cell>
          <cell r="K987">
            <v>0</v>
          </cell>
          <cell r="L987">
            <v>0</v>
          </cell>
        </row>
        <row r="988">
          <cell r="A988">
            <v>1</v>
          </cell>
          <cell r="B988">
            <v>9</v>
          </cell>
          <cell r="C988">
            <v>283</v>
          </cell>
          <cell r="D988">
            <v>86</v>
          </cell>
          <cell r="E988" t="str">
            <v xml:space="preserve">    </v>
          </cell>
          <cell r="F988" t="str">
            <v xml:space="preserve">   </v>
          </cell>
          <cell r="G988">
            <v>1928386</v>
          </cell>
          <cell r="H988">
            <v>8588.67</v>
          </cell>
          <cell r="I988">
            <v>8588.67</v>
          </cell>
          <cell r="J988">
            <v>0</v>
          </cell>
          <cell r="K988">
            <v>0</v>
          </cell>
          <cell r="L988">
            <v>0</v>
          </cell>
        </row>
        <row r="989">
          <cell r="A989">
            <v>2</v>
          </cell>
          <cell r="B989">
            <v>9</v>
          </cell>
          <cell r="C989">
            <v>283</v>
          </cell>
          <cell r="D989">
            <v>86</v>
          </cell>
          <cell r="E989" t="str">
            <v xml:space="preserve">    </v>
          </cell>
          <cell r="F989" t="str">
            <v xml:space="preserve">   </v>
          </cell>
          <cell r="G989">
            <v>2928386</v>
          </cell>
          <cell r="H989">
            <v>-176715.06</v>
          </cell>
          <cell r="I989">
            <v>-176715.06</v>
          </cell>
          <cell r="J989">
            <v>0</v>
          </cell>
          <cell r="K989">
            <v>0</v>
          </cell>
          <cell r="L989">
            <v>0</v>
          </cell>
        </row>
        <row r="990">
          <cell r="A990">
            <v>1</v>
          </cell>
          <cell r="B990">
            <v>9</v>
          </cell>
          <cell r="C990">
            <v>283</v>
          </cell>
          <cell r="D990">
            <v>87</v>
          </cell>
          <cell r="E990" t="str">
            <v xml:space="preserve">    </v>
          </cell>
          <cell r="F990" t="str">
            <v xml:space="preserve">   </v>
          </cell>
          <cell r="G990">
            <v>1928387</v>
          </cell>
          <cell r="H990">
            <v>3601</v>
          </cell>
          <cell r="I990">
            <v>3601</v>
          </cell>
          <cell r="J990">
            <v>0</v>
          </cell>
          <cell r="K990">
            <v>0</v>
          </cell>
          <cell r="L990">
            <v>0</v>
          </cell>
        </row>
        <row r="991">
          <cell r="A991">
            <v>2</v>
          </cell>
          <cell r="B991">
            <v>9</v>
          </cell>
          <cell r="C991">
            <v>283</v>
          </cell>
          <cell r="D991">
            <v>87</v>
          </cell>
          <cell r="E991" t="str">
            <v xml:space="preserve">    </v>
          </cell>
          <cell r="F991" t="str">
            <v xml:space="preserve">   </v>
          </cell>
          <cell r="G991">
            <v>2928387</v>
          </cell>
          <cell r="H991">
            <v>-216600.83</v>
          </cell>
          <cell r="I991">
            <v>-216600.83</v>
          </cell>
          <cell r="J991">
            <v>0</v>
          </cell>
          <cell r="K991">
            <v>0</v>
          </cell>
          <cell r="L991">
            <v>0</v>
          </cell>
        </row>
        <row r="992">
          <cell r="A992">
            <v>1</v>
          </cell>
          <cell r="B992">
            <v>9</v>
          </cell>
          <cell r="C992">
            <v>425</v>
          </cell>
          <cell r="D992">
            <v>68</v>
          </cell>
          <cell r="E992" t="str">
            <v xml:space="preserve">    </v>
          </cell>
          <cell r="F992" t="str">
            <v xml:space="preserve">   </v>
          </cell>
          <cell r="G992">
            <v>1942568</v>
          </cell>
          <cell r="H992">
            <v>93104.67</v>
          </cell>
          <cell r="I992">
            <v>0</v>
          </cell>
          <cell r="J992">
            <v>93104.67</v>
          </cell>
          <cell r="K992">
            <v>0</v>
          </cell>
          <cell r="L992">
            <v>0</v>
          </cell>
        </row>
        <row r="993">
          <cell r="A993">
            <v>2</v>
          </cell>
          <cell r="B993">
            <v>9</v>
          </cell>
          <cell r="C993">
            <v>425</v>
          </cell>
          <cell r="D993">
            <v>68</v>
          </cell>
          <cell r="E993" t="str">
            <v xml:space="preserve">    </v>
          </cell>
          <cell r="F993" t="str">
            <v xml:space="preserve">   </v>
          </cell>
          <cell r="G993">
            <v>2942568</v>
          </cell>
          <cell r="H993">
            <v>1117256.04</v>
          </cell>
          <cell r="I993">
            <v>0</v>
          </cell>
          <cell r="J993">
            <v>1117256.04</v>
          </cell>
          <cell r="K993">
            <v>0</v>
          </cell>
          <cell r="L993">
            <v>0</v>
          </cell>
        </row>
        <row r="994">
          <cell r="A994">
            <v>1</v>
          </cell>
          <cell r="B994">
            <v>9</v>
          </cell>
          <cell r="C994">
            <v>425</v>
          </cell>
          <cell r="D994">
            <v>78</v>
          </cell>
          <cell r="E994" t="str">
            <v xml:space="preserve">    </v>
          </cell>
          <cell r="F994" t="str">
            <v xml:space="preserve">   </v>
          </cell>
          <cell r="G994">
            <v>1942578</v>
          </cell>
          <cell r="H994">
            <v>17180</v>
          </cell>
          <cell r="I994">
            <v>0</v>
          </cell>
          <cell r="J994">
            <v>0</v>
          </cell>
          <cell r="K994">
            <v>17180</v>
          </cell>
          <cell r="L994">
            <v>0</v>
          </cell>
        </row>
        <row r="995">
          <cell r="A995">
            <v>2</v>
          </cell>
          <cell r="B995">
            <v>9</v>
          </cell>
          <cell r="C995">
            <v>425</v>
          </cell>
          <cell r="D995">
            <v>78</v>
          </cell>
          <cell r="E995" t="str">
            <v xml:space="preserve">    </v>
          </cell>
          <cell r="F995" t="str">
            <v xml:space="preserve">   </v>
          </cell>
          <cell r="G995">
            <v>2942578</v>
          </cell>
          <cell r="H995">
            <v>206160</v>
          </cell>
          <cell r="I995">
            <v>0</v>
          </cell>
          <cell r="J995">
            <v>0</v>
          </cell>
          <cell r="K995">
            <v>206160</v>
          </cell>
          <cell r="L995">
            <v>0</v>
          </cell>
        </row>
        <row r="996">
          <cell r="A996">
            <v>1</v>
          </cell>
          <cell r="B996">
            <v>0</v>
          </cell>
          <cell r="C996">
            <v>928</v>
          </cell>
          <cell r="D996" t="str">
            <v xml:space="preserve">  </v>
          </cell>
          <cell r="E996">
            <v>3035</v>
          </cell>
          <cell r="F996" t="str">
            <v xml:space="preserve">   </v>
          </cell>
          <cell r="G996">
            <v>109283035</v>
          </cell>
          <cell r="H996">
            <v>32244</v>
          </cell>
          <cell r="I996">
            <v>0</v>
          </cell>
          <cell r="J996">
            <v>32244</v>
          </cell>
          <cell r="K996">
            <v>0</v>
          </cell>
          <cell r="L996">
            <v>0</v>
          </cell>
        </row>
        <row r="997">
          <cell r="A997">
            <v>2</v>
          </cell>
          <cell r="B997">
            <v>0</v>
          </cell>
          <cell r="C997">
            <v>928</v>
          </cell>
          <cell r="D997" t="str">
            <v xml:space="preserve">  </v>
          </cell>
          <cell r="E997">
            <v>3035</v>
          </cell>
          <cell r="F997" t="str">
            <v xml:space="preserve">   </v>
          </cell>
          <cell r="G997">
            <v>209283035</v>
          </cell>
          <cell r="H997">
            <v>478312</v>
          </cell>
          <cell r="I997">
            <v>0</v>
          </cell>
          <cell r="J997">
            <v>478312</v>
          </cell>
          <cell r="K997">
            <v>0</v>
          </cell>
          <cell r="L997">
            <v>0</v>
          </cell>
        </row>
        <row r="998">
          <cell r="A998">
            <v>1</v>
          </cell>
          <cell r="B998">
            <v>0</v>
          </cell>
          <cell r="C998">
            <v>928</v>
          </cell>
          <cell r="D998" t="str">
            <v xml:space="preserve">  </v>
          </cell>
          <cell r="E998">
            <v>3037</v>
          </cell>
          <cell r="F998" t="str">
            <v xml:space="preserve">   </v>
          </cell>
          <cell r="G998">
            <v>109283037</v>
          </cell>
          <cell r="H998">
            <v>28562.82</v>
          </cell>
          <cell r="I998">
            <v>0</v>
          </cell>
          <cell r="J998">
            <v>0</v>
          </cell>
          <cell r="K998">
            <v>28562.82</v>
          </cell>
          <cell r="L998">
            <v>0</v>
          </cell>
        </row>
        <row r="999">
          <cell r="A999">
            <v>2</v>
          </cell>
          <cell r="B999">
            <v>0</v>
          </cell>
          <cell r="C999">
            <v>928</v>
          </cell>
          <cell r="D999" t="str">
            <v xml:space="preserve">  </v>
          </cell>
          <cell r="E999">
            <v>3037</v>
          </cell>
          <cell r="F999" t="str">
            <v xml:space="preserve">   </v>
          </cell>
          <cell r="G999">
            <v>209283037</v>
          </cell>
          <cell r="H999">
            <v>313620.84999999998</v>
          </cell>
          <cell r="I999">
            <v>0</v>
          </cell>
          <cell r="J999">
            <v>0</v>
          </cell>
          <cell r="K999">
            <v>313620.84999999998</v>
          </cell>
          <cell r="L999">
            <v>0</v>
          </cell>
        </row>
        <row r="1000">
          <cell r="A1000">
            <v>1</v>
          </cell>
          <cell r="B1000">
            <v>0</v>
          </cell>
          <cell r="C1000">
            <v>928</v>
          </cell>
          <cell r="D1000" t="str">
            <v xml:space="preserve">  </v>
          </cell>
          <cell r="E1000">
            <v>3039</v>
          </cell>
          <cell r="F1000" t="str">
            <v xml:space="preserve">   </v>
          </cell>
          <cell r="G1000">
            <v>109283039</v>
          </cell>
          <cell r="H1000">
            <v>182915</v>
          </cell>
          <cell r="I1000">
            <v>182915</v>
          </cell>
          <cell r="J1000">
            <v>0</v>
          </cell>
          <cell r="K1000">
            <v>0</v>
          </cell>
          <cell r="L1000">
            <v>0</v>
          </cell>
        </row>
        <row r="1001">
          <cell r="A1001">
            <v>2</v>
          </cell>
          <cell r="B1001">
            <v>0</v>
          </cell>
          <cell r="C1001">
            <v>928</v>
          </cell>
          <cell r="D1001" t="str">
            <v xml:space="preserve">  </v>
          </cell>
          <cell r="E1001">
            <v>3039</v>
          </cell>
          <cell r="F1001" t="str">
            <v xml:space="preserve">   </v>
          </cell>
          <cell r="G1001">
            <v>209283039</v>
          </cell>
          <cell r="H1001">
            <v>2018489.81</v>
          </cell>
          <cell r="I1001">
            <v>2018489.81</v>
          </cell>
          <cell r="J1001">
            <v>0</v>
          </cell>
          <cell r="K1001">
            <v>0</v>
          </cell>
          <cell r="L1001">
            <v>0</v>
          </cell>
        </row>
        <row r="1002">
          <cell r="A1002">
            <v>1</v>
          </cell>
          <cell r="B1002">
            <v>0</v>
          </cell>
          <cell r="C1002">
            <v>928</v>
          </cell>
          <cell r="D1002" t="str">
            <v xml:space="preserve">  </v>
          </cell>
          <cell r="E1002">
            <v>3059</v>
          </cell>
          <cell r="F1002" t="str">
            <v xml:space="preserve">   </v>
          </cell>
          <cell r="G1002">
            <v>109283059</v>
          </cell>
          <cell r="H1002">
            <v>3159.49</v>
          </cell>
          <cell r="I1002">
            <v>0</v>
          </cell>
          <cell r="J1002">
            <v>0</v>
          </cell>
          <cell r="K1002">
            <v>3159.49</v>
          </cell>
          <cell r="L1002">
            <v>0</v>
          </cell>
        </row>
        <row r="1003">
          <cell r="A1003">
            <v>2</v>
          </cell>
          <cell r="B1003">
            <v>0</v>
          </cell>
          <cell r="C1003">
            <v>928</v>
          </cell>
          <cell r="D1003" t="str">
            <v xml:space="preserve">  </v>
          </cell>
          <cell r="E1003">
            <v>3059</v>
          </cell>
          <cell r="F1003" t="str">
            <v xml:space="preserve">   </v>
          </cell>
          <cell r="G1003">
            <v>209283059</v>
          </cell>
          <cell r="H1003">
            <v>87656.88</v>
          </cell>
          <cell r="I1003">
            <v>0</v>
          </cell>
          <cell r="J1003">
            <v>0</v>
          </cell>
          <cell r="K1003">
            <v>87656.88</v>
          </cell>
          <cell r="L1003">
            <v>0</v>
          </cell>
        </row>
        <row r="1004">
          <cell r="A1004">
            <v>1</v>
          </cell>
          <cell r="B1004">
            <v>0</v>
          </cell>
          <cell r="C1004">
            <v>928</v>
          </cell>
          <cell r="D1004" t="str">
            <v xml:space="preserve">  </v>
          </cell>
          <cell r="E1004">
            <v>3060</v>
          </cell>
          <cell r="F1004" t="str">
            <v xml:space="preserve">   </v>
          </cell>
          <cell r="G1004">
            <v>109283060</v>
          </cell>
          <cell r="H1004">
            <v>390.32</v>
          </cell>
          <cell r="I1004">
            <v>0</v>
          </cell>
          <cell r="J1004">
            <v>0</v>
          </cell>
          <cell r="K1004">
            <v>390.32</v>
          </cell>
          <cell r="L1004">
            <v>0</v>
          </cell>
        </row>
        <row r="1005">
          <cell r="A1005">
            <v>2</v>
          </cell>
          <cell r="B1005">
            <v>0</v>
          </cell>
          <cell r="C1005">
            <v>928</v>
          </cell>
          <cell r="D1005" t="str">
            <v xml:space="preserve">  </v>
          </cell>
          <cell r="E1005">
            <v>3060</v>
          </cell>
          <cell r="F1005" t="str">
            <v xml:space="preserve">   </v>
          </cell>
          <cell r="G1005">
            <v>209283060</v>
          </cell>
          <cell r="H1005">
            <v>4950.88</v>
          </cell>
          <cell r="I1005">
            <v>0</v>
          </cell>
          <cell r="J1005">
            <v>0</v>
          </cell>
          <cell r="K1005">
            <v>4950.88</v>
          </cell>
          <cell r="L1005">
            <v>0</v>
          </cell>
        </row>
        <row r="1006">
          <cell r="A1006">
            <v>1</v>
          </cell>
          <cell r="B1006">
            <v>0</v>
          </cell>
          <cell r="C1006">
            <v>928</v>
          </cell>
          <cell r="D1006" t="str">
            <v xml:space="preserve">  </v>
          </cell>
          <cell r="E1006">
            <v>3062</v>
          </cell>
          <cell r="F1006" t="str">
            <v xml:space="preserve">   </v>
          </cell>
          <cell r="G1006">
            <v>109283062</v>
          </cell>
          <cell r="H1006">
            <v>6638.32</v>
          </cell>
          <cell r="I1006">
            <v>0</v>
          </cell>
          <cell r="J1006">
            <v>6638.32</v>
          </cell>
          <cell r="K1006">
            <v>0</v>
          </cell>
          <cell r="L1006">
            <v>0</v>
          </cell>
        </row>
        <row r="1007">
          <cell r="A1007">
            <v>2</v>
          </cell>
          <cell r="B1007">
            <v>0</v>
          </cell>
          <cell r="C1007">
            <v>928</v>
          </cell>
          <cell r="D1007" t="str">
            <v xml:space="preserve">  </v>
          </cell>
          <cell r="E1007">
            <v>3062</v>
          </cell>
          <cell r="F1007" t="str">
            <v xml:space="preserve">   </v>
          </cell>
          <cell r="G1007">
            <v>209283062</v>
          </cell>
          <cell r="H1007">
            <v>207438.43</v>
          </cell>
          <cell r="I1007">
            <v>0</v>
          </cell>
          <cell r="J1007">
            <v>207438.43</v>
          </cell>
          <cell r="K1007">
            <v>0</v>
          </cell>
          <cell r="L1007">
            <v>0</v>
          </cell>
        </row>
        <row r="1008">
          <cell r="A1008">
            <v>1</v>
          </cell>
          <cell r="B1008">
            <v>0</v>
          </cell>
          <cell r="C1008">
            <v>928</v>
          </cell>
          <cell r="D1008" t="str">
            <v xml:space="preserve">  </v>
          </cell>
          <cell r="E1008">
            <v>3063</v>
          </cell>
          <cell r="F1008" t="str">
            <v xml:space="preserve">   </v>
          </cell>
          <cell r="G1008">
            <v>109283063</v>
          </cell>
          <cell r="H1008">
            <v>390.32</v>
          </cell>
          <cell r="I1008">
            <v>0</v>
          </cell>
          <cell r="J1008">
            <v>390.32</v>
          </cell>
          <cell r="K1008">
            <v>0</v>
          </cell>
          <cell r="L1008">
            <v>0</v>
          </cell>
        </row>
        <row r="1009">
          <cell r="A1009">
            <v>2</v>
          </cell>
          <cell r="B1009">
            <v>0</v>
          </cell>
          <cell r="C1009">
            <v>928</v>
          </cell>
          <cell r="D1009" t="str">
            <v xml:space="preserve">  </v>
          </cell>
          <cell r="E1009">
            <v>3063</v>
          </cell>
          <cell r="F1009" t="str">
            <v xml:space="preserve">   </v>
          </cell>
          <cell r="G1009">
            <v>209283063</v>
          </cell>
          <cell r="H1009">
            <v>4950.88</v>
          </cell>
          <cell r="I1009">
            <v>0</v>
          </cell>
          <cell r="J1009">
            <v>4950.88</v>
          </cell>
          <cell r="K1009">
            <v>0</v>
          </cell>
          <cell r="L1009">
            <v>0</v>
          </cell>
        </row>
        <row r="1010">
          <cell r="A1010">
            <v>1</v>
          </cell>
          <cell r="B1010">
            <v>0</v>
          </cell>
          <cell r="C1010">
            <v>928</v>
          </cell>
          <cell r="D1010" t="str">
            <v xml:space="preserve">  </v>
          </cell>
          <cell r="E1010">
            <v>3067</v>
          </cell>
          <cell r="F1010" t="str">
            <v xml:space="preserve">   </v>
          </cell>
          <cell r="G1010">
            <v>109283067</v>
          </cell>
          <cell r="H1010">
            <v>32171.5</v>
          </cell>
          <cell r="I1010">
            <v>0</v>
          </cell>
          <cell r="J1010">
            <v>0</v>
          </cell>
          <cell r="K1010">
            <v>32171.5</v>
          </cell>
          <cell r="L1010">
            <v>0</v>
          </cell>
        </row>
        <row r="1011">
          <cell r="A1011">
            <v>2</v>
          </cell>
          <cell r="B1011">
            <v>0</v>
          </cell>
          <cell r="C1011">
            <v>928</v>
          </cell>
          <cell r="D1011" t="str">
            <v xml:space="preserve">  </v>
          </cell>
          <cell r="E1011">
            <v>3067</v>
          </cell>
          <cell r="F1011" t="str">
            <v xml:space="preserve">   </v>
          </cell>
          <cell r="G1011">
            <v>209283067</v>
          </cell>
          <cell r="H1011">
            <v>60528.12</v>
          </cell>
          <cell r="I1011">
            <v>0</v>
          </cell>
          <cell r="J1011">
            <v>0</v>
          </cell>
          <cell r="K1011">
            <v>60528.12</v>
          </cell>
          <cell r="L1011">
            <v>0</v>
          </cell>
        </row>
        <row r="1012">
          <cell r="A1012">
            <v>1</v>
          </cell>
          <cell r="B1012">
            <v>0</v>
          </cell>
          <cell r="C1012">
            <v>928</v>
          </cell>
          <cell r="D1012" t="str">
            <v xml:space="preserve">  </v>
          </cell>
          <cell r="E1012">
            <v>3398</v>
          </cell>
          <cell r="F1012" t="str">
            <v xml:space="preserve">   </v>
          </cell>
          <cell r="G1012">
            <v>109283398</v>
          </cell>
          <cell r="H1012">
            <v>0</v>
          </cell>
          <cell r="I1012">
            <v>0</v>
          </cell>
          <cell r="J1012">
            <v>0</v>
          </cell>
          <cell r="K1012">
            <v>0</v>
          </cell>
          <cell r="L1012">
            <v>0</v>
          </cell>
        </row>
        <row r="1013">
          <cell r="A1013">
            <v>2</v>
          </cell>
          <cell r="B1013">
            <v>0</v>
          </cell>
          <cell r="C1013">
            <v>928</v>
          </cell>
          <cell r="D1013" t="str">
            <v xml:space="preserve">  </v>
          </cell>
          <cell r="E1013">
            <v>3398</v>
          </cell>
          <cell r="F1013" t="str">
            <v xml:space="preserve">   </v>
          </cell>
          <cell r="G1013">
            <v>209283398</v>
          </cell>
          <cell r="H1013">
            <v>3321.7</v>
          </cell>
          <cell r="I1013">
            <v>0</v>
          </cell>
          <cell r="J1013">
            <v>2283.58</v>
          </cell>
          <cell r="K1013">
            <v>1038.1199999999999</v>
          </cell>
          <cell r="L1013">
            <v>0</v>
          </cell>
        </row>
        <row r="1014">
          <cell r="A1014">
            <v>1</v>
          </cell>
          <cell r="B1014">
            <v>0</v>
          </cell>
          <cell r="C1014">
            <v>928</v>
          </cell>
          <cell r="D1014" t="str">
            <v xml:space="preserve">  </v>
          </cell>
          <cell r="E1014">
            <v>3509</v>
          </cell>
          <cell r="F1014" t="str">
            <v xml:space="preserve">   </v>
          </cell>
          <cell r="G1014">
            <v>109283509</v>
          </cell>
          <cell r="H1014">
            <v>286.64</v>
          </cell>
          <cell r="I1014">
            <v>0</v>
          </cell>
          <cell r="J1014">
            <v>286.64</v>
          </cell>
          <cell r="K1014">
            <v>0</v>
          </cell>
          <cell r="L1014">
            <v>0</v>
          </cell>
        </row>
        <row r="1015">
          <cell r="A1015">
            <v>2</v>
          </cell>
          <cell r="B1015">
            <v>0</v>
          </cell>
          <cell r="C1015">
            <v>928</v>
          </cell>
          <cell r="D1015" t="str">
            <v xml:space="preserve">  </v>
          </cell>
          <cell r="E1015">
            <v>3509</v>
          </cell>
          <cell r="F1015" t="str">
            <v xml:space="preserve">   </v>
          </cell>
          <cell r="G1015">
            <v>209283509</v>
          </cell>
          <cell r="H1015">
            <v>6020.9</v>
          </cell>
          <cell r="I1015">
            <v>148.25</v>
          </cell>
          <cell r="J1015">
            <v>5855.88</v>
          </cell>
          <cell r="K1015">
            <v>16.77</v>
          </cell>
          <cell r="L1015">
            <v>0</v>
          </cell>
        </row>
        <row r="1016">
          <cell r="A1016">
            <v>1</v>
          </cell>
          <cell r="B1016">
            <v>0</v>
          </cell>
          <cell r="C1016">
            <v>928</v>
          </cell>
          <cell r="D1016" t="str">
            <v xml:space="preserve">  </v>
          </cell>
          <cell r="E1016">
            <v>3519</v>
          </cell>
          <cell r="F1016" t="str">
            <v xml:space="preserve">   </v>
          </cell>
          <cell r="G1016">
            <v>109283519</v>
          </cell>
          <cell r="H1016">
            <v>50.21</v>
          </cell>
          <cell r="I1016">
            <v>50.21</v>
          </cell>
          <cell r="J1016">
            <v>0</v>
          </cell>
          <cell r="K1016">
            <v>0</v>
          </cell>
          <cell r="L1016">
            <v>0</v>
          </cell>
        </row>
        <row r="1017">
          <cell r="A1017">
            <v>2</v>
          </cell>
          <cell r="B1017">
            <v>0</v>
          </cell>
          <cell r="C1017">
            <v>928</v>
          </cell>
          <cell r="D1017" t="str">
            <v xml:space="preserve">  </v>
          </cell>
          <cell r="E1017">
            <v>3519</v>
          </cell>
          <cell r="F1017" t="str">
            <v xml:space="preserve">   </v>
          </cell>
          <cell r="G1017">
            <v>209283519</v>
          </cell>
          <cell r="H1017">
            <v>819.56</v>
          </cell>
          <cell r="I1017">
            <v>819.56</v>
          </cell>
          <cell r="J1017">
            <v>0</v>
          </cell>
          <cell r="K1017">
            <v>0</v>
          </cell>
          <cell r="L1017">
            <v>0</v>
          </cell>
        </row>
        <row r="1018">
          <cell r="A1018">
            <v>1</v>
          </cell>
          <cell r="B1018">
            <v>0</v>
          </cell>
          <cell r="C1018">
            <v>928</v>
          </cell>
          <cell r="D1018" t="str">
            <v xml:space="preserve">  </v>
          </cell>
          <cell r="E1018">
            <v>3688</v>
          </cell>
          <cell r="F1018" t="str">
            <v xml:space="preserve">   </v>
          </cell>
          <cell r="G1018">
            <v>109283688</v>
          </cell>
          <cell r="H1018">
            <v>43.72</v>
          </cell>
          <cell r="I1018">
            <v>0</v>
          </cell>
          <cell r="J1018">
            <v>0</v>
          </cell>
          <cell r="K1018">
            <v>43.72</v>
          </cell>
          <cell r="L1018">
            <v>0</v>
          </cell>
        </row>
        <row r="1019">
          <cell r="A1019">
            <v>2</v>
          </cell>
          <cell r="B1019">
            <v>0</v>
          </cell>
          <cell r="C1019">
            <v>928</v>
          </cell>
          <cell r="D1019" t="str">
            <v xml:space="preserve">  </v>
          </cell>
          <cell r="E1019">
            <v>3688</v>
          </cell>
          <cell r="F1019" t="str">
            <v xml:space="preserve">   </v>
          </cell>
          <cell r="G1019">
            <v>209283688</v>
          </cell>
          <cell r="H1019">
            <v>24970.14</v>
          </cell>
          <cell r="I1019">
            <v>0</v>
          </cell>
          <cell r="J1019">
            <v>0</v>
          </cell>
          <cell r="K1019">
            <v>24970.14</v>
          </cell>
          <cell r="L1019">
            <v>0</v>
          </cell>
        </row>
        <row r="1020">
          <cell r="A1020">
            <v>1</v>
          </cell>
          <cell r="B1020">
            <v>0</v>
          </cell>
          <cell r="C1020">
            <v>928</v>
          </cell>
          <cell r="D1020" t="str">
            <v xml:space="preserve">  </v>
          </cell>
          <cell r="E1020">
            <v>3826</v>
          </cell>
          <cell r="F1020" t="str">
            <v xml:space="preserve">   </v>
          </cell>
          <cell r="G1020">
            <v>109283826</v>
          </cell>
          <cell r="H1020">
            <v>352.9</v>
          </cell>
          <cell r="I1020">
            <v>0</v>
          </cell>
          <cell r="J1020">
            <v>352.9</v>
          </cell>
          <cell r="K1020">
            <v>0</v>
          </cell>
          <cell r="L1020">
            <v>0</v>
          </cell>
        </row>
        <row r="1021">
          <cell r="A1021">
            <v>2</v>
          </cell>
          <cell r="B1021">
            <v>0</v>
          </cell>
          <cell r="C1021">
            <v>928</v>
          </cell>
          <cell r="D1021" t="str">
            <v xml:space="preserve">  </v>
          </cell>
          <cell r="E1021">
            <v>3826</v>
          </cell>
          <cell r="F1021" t="str">
            <v xml:space="preserve">   </v>
          </cell>
          <cell r="G1021">
            <v>209283826</v>
          </cell>
          <cell r="H1021">
            <v>34871.5</v>
          </cell>
          <cell r="I1021">
            <v>0</v>
          </cell>
          <cell r="J1021">
            <v>34871.5</v>
          </cell>
          <cell r="K1021">
            <v>0</v>
          </cell>
          <cell r="L1021">
            <v>0</v>
          </cell>
        </row>
        <row r="1022">
          <cell r="A1022">
            <v>1</v>
          </cell>
          <cell r="B1022">
            <v>1</v>
          </cell>
          <cell r="C1022">
            <v>928</v>
          </cell>
          <cell r="D1022" t="str">
            <v xml:space="preserve">  </v>
          </cell>
          <cell r="E1022">
            <v>3035</v>
          </cell>
          <cell r="F1022" t="str">
            <v xml:space="preserve">   </v>
          </cell>
          <cell r="G1022">
            <v>119283035</v>
          </cell>
          <cell r="H1022">
            <v>8289.25</v>
          </cell>
          <cell r="I1022">
            <v>0</v>
          </cell>
          <cell r="J1022">
            <v>8289.25</v>
          </cell>
          <cell r="K1022">
            <v>0</v>
          </cell>
          <cell r="L1022">
            <v>0</v>
          </cell>
        </row>
        <row r="1023">
          <cell r="A1023">
            <v>2</v>
          </cell>
          <cell r="B1023">
            <v>1</v>
          </cell>
          <cell r="C1023">
            <v>928</v>
          </cell>
          <cell r="D1023" t="str">
            <v xml:space="preserve">  </v>
          </cell>
          <cell r="E1023">
            <v>3035</v>
          </cell>
          <cell r="F1023" t="str">
            <v xml:space="preserve">   </v>
          </cell>
          <cell r="G1023">
            <v>219283035</v>
          </cell>
          <cell r="H1023">
            <v>128493</v>
          </cell>
          <cell r="I1023">
            <v>0</v>
          </cell>
          <cell r="J1023">
            <v>128493</v>
          </cell>
          <cell r="K1023">
            <v>0</v>
          </cell>
          <cell r="L1023">
            <v>0</v>
          </cell>
        </row>
        <row r="1024">
          <cell r="A1024">
            <v>1</v>
          </cell>
          <cell r="B1024">
            <v>1</v>
          </cell>
          <cell r="C1024">
            <v>928</v>
          </cell>
          <cell r="D1024" t="str">
            <v xml:space="preserve">  </v>
          </cell>
          <cell r="E1024">
            <v>3037</v>
          </cell>
          <cell r="F1024" t="str">
            <v xml:space="preserve">   </v>
          </cell>
          <cell r="G1024">
            <v>119283037</v>
          </cell>
          <cell r="H1024">
            <v>4749.0600000000004</v>
          </cell>
          <cell r="I1024">
            <v>0</v>
          </cell>
          <cell r="J1024">
            <v>0</v>
          </cell>
          <cell r="K1024">
            <v>4749.0600000000004</v>
          </cell>
          <cell r="L1024">
            <v>0</v>
          </cell>
        </row>
        <row r="1025">
          <cell r="A1025">
            <v>2</v>
          </cell>
          <cell r="B1025">
            <v>1</v>
          </cell>
          <cell r="C1025">
            <v>928</v>
          </cell>
          <cell r="D1025" t="str">
            <v xml:space="preserve">  </v>
          </cell>
          <cell r="E1025">
            <v>3037</v>
          </cell>
          <cell r="F1025" t="str">
            <v xml:space="preserve">   </v>
          </cell>
          <cell r="G1025">
            <v>219283037</v>
          </cell>
          <cell r="H1025">
            <v>60365.78</v>
          </cell>
          <cell r="I1025">
            <v>0</v>
          </cell>
          <cell r="J1025">
            <v>0</v>
          </cell>
          <cell r="K1025">
            <v>60365.78</v>
          </cell>
          <cell r="L1025">
            <v>0</v>
          </cell>
        </row>
        <row r="1026">
          <cell r="A1026">
            <v>1</v>
          </cell>
          <cell r="B1026">
            <v>1</v>
          </cell>
          <cell r="C1026">
            <v>928</v>
          </cell>
          <cell r="D1026" t="str">
            <v xml:space="preserve">  </v>
          </cell>
          <cell r="E1026">
            <v>3059</v>
          </cell>
          <cell r="F1026" t="str">
            <v xml:space="preserve">   </v>
          </cell>
          <cell r="G1026">
            <v>119283059</v>
          </cell>
          <cell r="H1026">
            <v>3266.56</v>
          </cell>
          <cell r="I1026">
            <v>0</v>
          </cell>
          <cell r="J1026">
            <v>0</v>
          </cell>
          <cell r="K1026">
            <v>3266.56</v>
          </cell>
          <cell r="L1026">
            <v>0</v>
          </cell>
        </row>
        <row r="1027">
          <cell r="A1027">
            <v>2</v>
          </cell>
          <cell r="B1027">
            <v>1</v>
          </cell>
          <cell r="C1027">
            <v>928</v>
          </cell>
          <cell r="D1027" t="str">
            <v xml:space="preserve">  </v>
          </cell>
          <cell r="E1027">
            <v>3059</v>
          </cell>
          <cell r="F1027" t="str">
            <v xml:space="preserve">   </v>
          </cell>
          <cell r="G1027">
            <v>219283059</v>
          </cell>
          <cell r="H1027">
            <v>37617.620000000003</v>
          </cell>
          <cell r="I1027">
            <v>0</v>
          </cell>
          <cell r="J1027">
            <v>0</v>
          </cell>
          <cell r="K1027">
            <v>37617.620000000003</v>
          </cell>
          <cell r="L1027">
            <v>0</v>
          </cell>
        </row>
        <row r="1028">
          <cell r="A1028">
            <v>1</v>
          </cell>
          <cell r="B1028">
            <v>1</v>
          </cell>
          <cell r="C1028">
            <v>928</v>
          </cell>
          <cell r="D1028" t="str">
            <v xml:space="preserve">  </v>
          </cell>
          <cell r="E1028">
            <v>3062</v>
          </cell>
          <cell r="F1028" t="str">
            <v xml:space="preserve">   </v>
          </cell>
          <cell r="G1028">
            <v>119283062</v>
          </cell>
          <cell r="H1028">
            <v>6427.52</v>
          </cell>
          <cell r="I1028">
            <v>0</v>
          </cell>
          <cell r="J1028">
            <v>6427.52</v>
          </cell>
          <cell r="K1028">
            <v>0</v>
          </cell>
          <cell r="L1028">
            <v>0</v>
          </cell>
        </row>
        <row r="1029">
          <cell r="A1029">
            <v>2</v>
          </cell>
          <cell r="B1029">
            <v>1</v>
          </cell>
          <cell r="C1029">
            <v>928</v>
          </cell>
          <cell r="D1029" t="str">
            <v xml:space="preserve">  </v>
          </cell>
          <cell r="E1029">
            <v>3062</v>
          </cell>
          <cell r="F1029" t="str">
            <v xml:space="preserve">   </v>
          </cell>
          <cell r="G1029">
            <v>219283062</v>
          </cell>
          <cell r="H1029">
            <v>138251.96</v>
          </cell>
          <cell r="I1029">
            <v>0</v>
          </cell>
          <cell r="J1029">
            <v>138251.96</v>
          </cell>
          <cell r="K1029">
            <v>0</v>
          </cell>
          <cell r="L1029">
            <v>0</v>
          </cell>
        </row>
        <row r="1030">
          <cell r="A1030">
            <v>1</v>
          </cell>
          <cell r="B1030">
            <v>1</v>
          </cell>
          <cell r="C1030">
            <v>928</v>
          </cell>
          <cell r="D1030" t="str">
            <v xml:space="preserve">  </v>
          </cell>
          <cell r="E1030">
            <v>3136</v>
          </cell>
          <cell r="F1030" t="str">
            <v xml:space="preserve">   </v>
          </cell>
          <cell r="G1030">
            <v>119283136</v>
          </cell>
          <cell r="H1030">
            <v>4096.6499999999996</v>
          </cell>
          <cell r="I1030">
            <v>4096.6499999999996</v>
          </cell>
          <cell r="J1030">
            <v>0</v>
          </cell>
          <cell r="K1030">
            <v>0</v>
          </cell>
          <cell r="L1030">
            <v>0</v>
          </cell>
        </row>
        <row r="1031">
          <cell r="A1031">
            <v>2</v>
          </cell>
          <cell r="B1031">
            <v>1</v>
          </cell>
          <cell r="C1031">
            <v>928</v>
          </cell>
          <cell r="D1031" t="str">
            <v xml:space="preserve">  </v>
          </cell>
          <cell r="E1031">
            <v>3136</v>
          </cell>
          <cell r="F1031" t="str">
            <v xml:space="preserve">   </v>
          </cell>
          <cell r="G1031">
            <v>219283136</v>
          </cell>
          <cell r="H1031">
            <v>34283.040000000001</v>
          </cell>
          <cell r="I1031">
            <v>34283.040000000001</v>
          </cell>
          <cell r="J1031">
            <v>0</v>
          </cell>
          <cell r="K1031">
            <v>0</v>
          </cell>
          <cell r="L1031">
            <v>0</v>
          </cell>
        </row>
        <row r="1032">
          <cell r="A1032">
            <v>1</v>
          </cell>
          <cell r="B1032">
            <v>1</v>
          </cell>
          <cell r="C1032">
            <v>928</v>
          </cell>
          <cell r="D1032" t="str">
            <v xml:space="preserve">  </v>
          </cell>
          <cell r="E1032">
            <v>3575</v>
          </cell>
          <cell r="F1032" t="str">
            <v xml:space="preserve">   </v>
          </cell>
          <cell r="G1032">
            <v>119283575</v>
          </cell>
          <cell r="H1032">
            <v>0</v>
          </cell>
          <cell r="I1032">
            <v>0</v>
          </cell>
          <cell r="J1032">
            <v>0</v>
          </cell>
          <cell r="K1032">
            <v>0</v>
          </cell>
          <cell r="L1032">
            <v>0</v>
          </cell>
        </row>
        <row r="1033">
          <cell r="A1033">
            <v>2</v>
          </cell>
          <cell r="B1033">
            <v>1</v>
          </cell>
          <cell r="C1033">
            <v>928</v>
          </cell>
          <cell r="D1033" t="str">
            <v xml:space="preserve">  </v>
          </cell>
          <cell r="E1033">
            <v>3575</v>
          </cell>
          <cell r="F1033" t="str">
            <v xml:space="preserve">   </v>
          </cell>
          <cell r="G1033">
            <v>219283575</v>
          </cell>
          <cell r="H1033">
            <v>5656.29</v>
          </cell>
          <cell r="I1033">
            <v>0</v>
          </cell>
          <cell r="J1033">
            <v>5656.29</v>
          </cell>
          <cell r="K1033">
            <v>0</v>
          </cell>
          <cell r="L1033">
            <v>0</v>
          </cell>
        </row>
        <row r="1034">
          <cell r="A1034">
            <v>1</v>
          </cell>
          <cell r="B1034">
            <v>1</v>
          </cell>
          <cell r="C1034">
            <v>928</v>
          </cell>
          <cell r="D1034" t="str">
            <v xml:space="preserve">  </v>
          </cell>
          <cell r="E1034">
            <v>3598</v>
          </cell>
          <cell r="F1034" t="str">
            <v xml:space="preserve">   </v>
          </cell>
          <cell r="G1034">
            <v>119283598</v>
          </cell>
          <cell r="H1034">
            <v>20794.12</v>
          </cell>
          <cell r="I1034">
            <v>20794.12</v>
          </cell>
          <cell r="J1034">
            <v>0</v>
          </cell>
          <cell r="K1034">
            <v>0</v>
          </cell>
          <cell r="L1034">
            <v>0</v>
          </cell>
        </row>
        <row r="1035">
          <cell r="A1035">
            <v>2</v>
          </cell>
          <cell r="B1035">
            <v>1</v>
          </cell>
          <cell r="C1035">
            <v>928</v>
          </cell>
          <cell r="D1035" t="str">
            <v xml:space="preserve">  </v>
          </cell>
          <cell r="E1035">
            <v>3598</v>
          </cell>
          <cell r="F1035" t="str">
            <v xml:space="preserve">   </v>
          </cell>
          <cell r="G1035">
            <v>219283598</v>
          </cell>
          <cell r="H1035">
            <v>83472.149999999994</v>
          </cell>
          <cell r="I1035">
            <v>83472.149999999994</v>
          </cell>
          <cell r="J1035">
            <v>0</v>
          </cell>
          <cell r="K1035">
            <v>0</v>
          </cell>
          <cell r="L1035">
            <v>0</v>
          </cell>
        </row>
        <row r="1036">
          <cell r="A1036">
            <v>1</v>
          </cell>
          <cell r="B1036">
            <v>2</v>
          </cell>
          <cell r="C1036">
            <v>928</v>
          </cell>
          <cell r="D1036" t="str">
            <v xml:space="preserve">  </v>
          </cell>
          <cell r="E1036">
            <v>3136</v>
          </cell>
          <cell r="F1036" t="str">
            <v xml:space="preserve">   </v>
          </cell>
          <cell r="G1036">
            <v>129283136</v>
          </cell>
          <cell r="H1036">
            <v>453.3</v>
          </cell>
          <cell r="I1036">
            <v>453.3</v>
          </cell>
          <cell r="J1036">
            <v>0</v>
          </cell>
          <cell r="K1036">
            <v>0</v>
          </cell>
          <cell r="L1036">
            <v>0</v>
          </cell>
        </row>
        <row r="1037">
          <cell r="A1037">
            <v>2</v>
          </cell>
          <cell r="B1037">
            <v>2</v>
          </cell>
          <cell r="C1037">
            <v>928</v>
          </cell>
          <cell r="D1037" t="str">
            <v xml:space="preserve">  </v>
          </cell>
          <cell r="E1037">
            <v>3136</v>
          </cell>
          <cell r="F1037" t="str">
            <v xml:space="preserve">   </v>
          </cell>
          <cell r="G1037">
            <v>229283136</v>
          </cell>
          <cell r="H1037">
            <v>963.25</v>
          </cell>
          <cell r="I1037">
            <v>963.25</v>
          </cell>
          <cell r="J1037">
            <v>0</v>
          </cell>
          <cell r="K1037">
            <v>0</v>
          </cell>
          <cell r="L1037">
            <v>0</v>
          </cell>
        </row>
        <row r="1038">
          <cell r="A1038">
            <v>1</v>
          </cell>
          <cell r="B1038">
            <v>2</v>
          </cell>
          <cell r="C1038">
            <v>928</v>
          </cell>
          <cell r="D1038" t="str">
            <v xml:space="preserve">  </v>
          </cell>
          <cell r="E1038">
            <v>3293</v>
          </cell>
          <cell r="F1038" t="str">
            <v xml:space="preserve">   </v>
          </cell>
          <cell r="G1038">
            <v>129283293</v>
          </cell>
          <cell r="H1038">
            <v>5374.73</v>
          </cell>
          <cell r="I1038">
            <v>0</v>
          </cell>
          <cell r="J1038">
            <v>5374.73</v>
          </cell>
          <cell r="K1038">
            <v>0</v>
          </cell>
          <cell r="L1038">
            <v>0</v>
          </cell>
        </row>
        <row r="1039">
          <cell r="A1039">
            <v>2</v>
          </cell>
          <cell r="B1039">
            <v>2</v>
          </cell>
          <cell r="C1039">
            <v>928</v>
          </cell>
          <cell r="D1039" t="str">
            <v xml:space="preserve">  </v>
          </cell>
          <cell r="E1039">
            <v>3293</v>
          </cell>
          <cell r="F1039" t="str">
            <v xml:space="preserve">   </v>
          </cell>
          <cell r="G1039">
            <v>229283293</v>
          </cell>
          <cell r="H1039">
            <v>77160.53</v>
          </cell>
          <cell r="I1039">
            <v>0</v>
          </cell>
          <cell r="J1039">
            <v>77160.53</v>
          </cell>
          <cell r="K1039">
            <v>0</v>
          </cell>
          <cell r="L1039">
            <v>0</v>
          </cell>
        </row>
        <row r="1040">
          <cell r="A1040">
            <v>1</v>
          </cell>
          <cell r="B1040">
            <v>2</v>
          </cell>
          <cell r="C1040">
            <v>928</v>
          </cell>
          <cell r="D1040" t="str">
            <v xml:space="preserve">  </v>
          </cell>
          <cell r="E1040">
            <v>3294</v>
          </cell>
          <cell r="F1040" t="str">
            <v xml:space="preserve">   </v>
          </cell>
          <cell r="G1040">
            <v>129283294</v>
          </cell>
          <cell r="H1040">
            <v>817.17</v>
          </cell>
          <cell r="I1040">
            <v>0</v>
          </cell>
          <cell r="J1040">
            <v>0</v>
          </cell>
          <cell r="K1040">
            <v>817.17</v>
          </cell>
          <cell r="L1040">
            <v>0</v>
          </cell>
        </row>
        <row r="1041">
          <cell r="A1041">
            <v>2</v>
          </cell>
          <cell r="B1041">
            <v>2</v>
          </cell>
          <cell r="C1041">
            <v>928</v>
          </cell>
          <cell r="D1041" t="str">
            <v xml:space="preserve">  </v>
          </cell>
          <cell r="E1041">
            <v>3294</v>
          </cell>
          <cell r="F1041" t="str">
            <v xml:space="preserve">   </v>
          </cell>
          <cell r="G1041">
            <v>229283294</v>
          </cell>
          <cell r="H1041">
            <v>29674.5</v>
          </cell>
          <cell r="I1041">
            <v>0</v>
          </cell>
          <cell r="J1041">
            <v>0</v>
          </cell>
          <cell r="K1041">
            <v>29674.5</v>
          </cell>
          <cell r="L1041">
            <v>0</v>
          </cell>
        </row>
        <row r="1042">
          <cell r="A1042">
            <v>1</v>
          </cell>
          <cell r="B1042">
            <v>2</v>
          </cell>
          <cell r="C1042">
            <v>928</v>
          </cell>
          <cell r="D1042" t="str">
            <v xml:space="preserve">  </v>
          </cell>
          <cell r="E1042">
            <v>3598</v>
          </cell>
          <cell r="F1042" t="str">
            <v xml:space="preserve">   </v>
          </cell>
          <cell r="G1042">
            <v>129283598</v>
          </cell>
          <cell r="H1042">
            <v>10409.24</v>
          </cell>
          <cell r="I1042">
            <v>7433.28</v>
          </cell>
          <cell r="J1042">
            <v>2610.48</v>
          </cell>
          <cell r="K1042">
            <v>365.48</v>
          </cell>
          <cell r="L1042">
            <v>0</v>
          </cell>
        </row>
        <row r="1043">
          <cell r="A1043">
            <v>2</v>
          </cell>
          <cell r="B1043">
            <v>2</v>
          </cell>
          <cell r="C1043">
            <v>928</v>
          </cell>
          <cell r="D1043" t="str">
            <v xml:space="preserve">  </v>
          </cell>
          <cell r="E1043">
            <v>3598</v>
          </cell>
          <cell r="F1043" t="str">
            <v xml:space="preserve">   </v>
          </cell>
          <cell r="G1043">
            <v>229283598</v>
          </cell>
          <cell r="H1043">
            <v>28399.77</v>
          </cell>
          <cell r="I1043">
            <v>24580.85</v>
          </cell>
          <cell r="J1043">
            <v>3238.19</v>
          </cell>
          <cell r="K1043">
            <v>580.73</v>
          </cell>
          <cell r="L1043">
            <v>0</v>
          </cell>
        </row>
        <row r="1044">
          <cell r="A1044">
            <v>1</v>
          </cell>
          <cell r="B1044">
            <v>2</v>
          </cell>
          <cell r="C1044">
            <v>928</v>
          </cell>
          <cell r="D1044" t="str">
            <v xml:space="preserve">  </v>
          </cell>
          <cell r="E1044">
            <v>3603</v>
          </cell>
          <cell r="F1044" t="str">
            <v xml:space="preserve">   </v>
          </cell>
          <cell r="G1044">
            <v>129283603</v>
          </cell>
          <cell r="H1044">
            <v>7082.09</v>
          </cell>
          <cell r="I1044">
            <v>0</v>
          </cell>
          <cell r="J1044">
            <v>7082.09</v>
          </cell>
          <cell r="K1044">
            <v>0</v>
          </cell>
          <cell r="L1044">
            <v>0</v>
          </cell>
        </row>
        <row r="1045">
          <cell r="A1045">
            <v>2</v>
          </cell>
          <cell r="B1045">
            <v>2</v>
          </cell>
          <cell r="C1045">
            <v>928</v>
          </cell>
          <cell r="D1045" t="str">
            <v xml:space="preserve">  </v>
          </cell>
          <cell r="E1045">
            <v>3603</v>
          </cell>
          <cell r="F1045" t="str">
            <v xml:space="preserve">   </v>
          </cell>
          <cell r="G1045">
            <v>229283603</v>
          </cell>
          <cell r="H1045">
            <v>121670.51</v>
          </cell>
          <cell r="I1045">
            <v>0</v>
          </cell>
          <cell r="J1045">
            <v>121670.51</v>
          </cell>
          <cell r="K1045">
            <v>0</v>
          </cell>
          <cell r="L1045">
            <v>0</v>
          </cell>
        </row>
        <row r="1046">
          <cell r="A1046">
            <v>1</v>
          </cell>
          <cell r="B1046">
            <v>2</v>
          </cell>
          <cell r="C1046">
            <v>928</v>
          </cell>
          <cell r="D1046" t="str">
            <v xml:space="preserve">  </v>
          </cell>
          <cell r="E1046">
            <v>3608</v>
          </cell>
          <cell r="F1046" t="str">
            <v xml:space="preserve">   </v>
          </cell>
          <cell r="G1046">
            <v>129283608</v>
          </cell>
          <cell r="H1046">
            <v>0</v>
          </cell>
          <cell r="I1046">
            <v>0</v>
          </cell>
          <cell r="J1046">
            <v>0</v>
          </cell>
          <cell r="K1046">
            <v>0</v>
          </cell>
          <cell r="L1046">
            <v>0</v>
          </cell>
        </row>
        <row r="1047">
          <cell r="A1047">
            <v>2</v>
          </cell>
          <cell r="B1047">
            <v>2</v>
          </cell>
          <cell r="C1047">
            <v>928</v>
          </cell>
          <cell r="D1047" t="str">
            <v xml:space="preserve">  </v>
          </cell>
          <cell r="E1047">
            <v>3608</v>
          </cell>
          <cell r="F1047" t="str">
            <v xml:space="preserve">   </v>
          </cell>
          <cell r="G1047">
            <v>229283608</v>
          </cell>
          <cell r="H1047">
            <v>18511.150000000001</v>
          </cell>
          <cell r="I1047">
            <v>0</v>
          </cell>
          <cell r="J1047">
            <v>0</v>
          </cell>
          <cell r="K1047">
            <v>18511.150000000001</v>
          </cell>
          <cell r="L1047">
            <v>0</v>
          </cell>
        </row>
        <row r="1048">
          <cell r="A1048">
            <v>1</v>
          </cell>
          <cell r="B1048">
            <v>2</v>
          </cell>
          <cell r="C1048">
            <v>928</v>
          </cell>
          <cell r="D1048" t="str">
            <v xml:space="preserve">  </v>
          </cell>
          <cell r="E1048">
            <v>3648</v>
          </cell>
          <cell r="F1048" t="str">
            <v xml:space="preserve">   </v>
          </cell>
          <cell r="G1048">
            <v>129283648</v>
          </cell>
          <cell r="H1048">
            <v>0</v>
          </cell>
          <cell r="I1048">
            <v>0</v>
          </cell>
          <cell r="J1048">
            <v>0</v>
          </cell>
          <cell r="K1048">
            <v>0</v>
          </cell>
          <cell r="L1048">
            <v>0</v>
          </cell>
        </row>
        <row r="1049">
          <cell r="A1049">
            <v>2</v>
          </cell>
          <cell r="B1049">
            <v>2</v>
          </cell>
          <cell r="C1049">
            <v>928</v>
          </cell>
          <cell r="D1049" t="str">
            <v xml:space="preserve">  </v>
          </cell>
          <cell r="E1049">
            <v>3648</v>
          </cell>
          <cell r="F1049" t="str">
            <v xml:space="preserve">   </v>
          </cell>
          <cell r="G1049">
            <v>229283648</v>
          </cell>
          <cell r="H1049">
            <v>2528.0300000000002</v>
          </cell>
          <cell r="I1049">
            <v>0</v>
          </cell>
          <cell r="J1049">
            <v>0</v>
          </cell>
          <cell r="K1049">
            <v>2528.0300000000002</v>
          </cell>
          <cell r="L1049">
            <v>0</v>
          </cell>
        </row>
        <row r="1050">
          <cell r="A1050">
            <v>1</v>
          </cell>
          <cell r="B1050">
            <v>2</v>
          </cell>
          <cell r="C1050">
            <v>928</v>
          </cell>
          <cell r="D1050" t="str">
            <v xml:space="preserve">  </v>
          </cell>
          <cell r="E1050">
            <v>3683</v>
          </cell>
          <cell r="F1050" t="str">
            <v xml:space="preserve">   </v>
          </cell>
          <cell r="G1050">
            <v>129283683</v>
          </cell>
          <cell r="H1050">
            <v>0</v>
          </cell>
          <cell r="I1050">
            <v>0</v>
          </cell>
          <cell r="J1050">
            <v>0</v>
          </cell>
          <cell r="K1050">
            <v>0</v>
          </cell>
          <cell r="L1050">
            <v>0</v>
          </cell>
        </row>
        <row r="1051">
          <cell r="A1051">
            <v>2</v>
          </cell>
          <cell r="B1051">
            <v>2</v>
          </cell>
          <cell r="C1051">
            <v>928</v>
          </cell>
          <cell r="D1051" t="str">
            <v xml:space="preserve">  </v>
          </cell>
          <cell r="E1051">
            <v>3683</v>
          </cell>
          <cell r="F1051" t="str">
            <v xml:space="preserve">   </v>
          </cell>
          <cell r="G1051">
            <v>229283683</v>
          </cell>
          <cell r="H1051">
            <v>1046.25</v>
          </cell>
          <cell r="I1051">
            <v>0</v>
          </cell>
          <cell r="J1051">
            <v>0</v>
          </cell>
          <cell r="K1051">
            <v>1046.25</v>
          </cell>
          <cell r="L1051">
            <v>0</v>
          </cell>
        </row>
        <row r="1052">
          <cell r="A1052">
            <v>3</v>
          </cell>
          <cell r="B1052">
            <v>0</v>
          </cell>
          <cell r="C1052">
            <v>101</v>
          </cell>
          <cell r="D1052" t="str">
            <v xml:space="preserve">  </v>
          </cell>
          <cell r="E1052" t="str">
            <v xml:space="preserve">    </v>
          </cell>
          <cell r="F1052" t="str">
            <v xml:space="preserve">   </v>
          </cell>
          <cell r="G1052">
            <v>30101</v>
          </cell>
          <cell r="H1052">
            <v>-4569474</v>
          </cell>
          <cell r="I1052">
            <v>0</v>
          </cell>
          <cell r="J1052">
            <v>-3279821</v>
          </cell>
          <cell r="K1052">
            <v>-1289653</v>
          </cell>
          <cell r="L1052">
            <v>0</v>
          </cell>
        </row>
        <row r="1053">
          <cell r="A1053">
            <v>4</v>
          </cell>
          <cell r="B1053">
            <v>0</v>
          </cell>
          <cell r="C1053">
            <v>101</v>
          </cell>
          <cell r="D1053" t="str">
            <v xml:space="preserve">  </v>
          </cell>
          <cell r="E1053" t="str">
            <v xml:space="preserve">    </v>
          </cell>
          <cell r="F1053" t="str">
            <v xml:space="preserve">   </v>
          </cell>
          <cell r="G1053">
            <v>40101</v>
          </cell>
          <cell r="H1053">
            <v>-4683713.91</v>
          </cell>
          <cell r="I1053">
            <v>0</v>
          </cell>
          <cell r="J1053">
            <v>-3361816.95</v>
          </cell>
          <cell r="K1053">
            <v>-1321896.96</v>
          </cell>
          <cell r="L1053">
            <v>0</v>
          </cell>
        </row>
        <row r="1054">
          <cell r="A1054">
            <v>5</v>
          </cell>
          <cell r="B1054">
            <v>0</v>
          </cell>
          <cell r="C1054">
            <v>101</v>
          </cell>
          <cell r="D1054" t="str">
            <v xml:space="preserve">  </v>
          </cell>
          <cell r="E1054" t="str">
            <v xml:space="preserve">    </v>
          </cell>
          <cell r="F1054" t="str">
            <v xml:space="preserve">   </v>
          </cell>
          <cell r="G1054">
            <v>50101</v>
          </cell>
          <cell r="H1054">
            <v>-4578994</v>
          </cell>
          <cell r="I1054">
            <v>0</v>
          </cell>
          <cell r="J1054">
            <v>-3286654</v>
          </cell>
          <cell r="K1054">
            <v>-1292340</v>
          </cell>
          <cell r="L1054">
            <v>0</v>
          </cell>
        </row>
        <row r="1055">
          <cell r="A1055">
            <v>3</v>
          </cell>
          <cell r="B1055">
            <v>0</v>
          </cell>
          <cell r="C1055">
            <v>301</v>
          </cell>
          <cell r="D1055" t="str">
            <v xml:space="preserve">  </v>
          </cell>
          <cell r="E1055" t="str">
            <v xml:space="preserve">    </v>
          </cell>
          <cell r="F1055" t="str">
            <v xml:space="preserve">   </v>
          </cell>
          <cell r="G1055">
            <v>30301</v>
          </cell>
          <cell r="H1055">
            <v>14698</v>
          </cell>
          <cell r="I1055">
            <v>14698</v>
          </cell>
          <cell r="J1055">
            <v>0</v>
          </cell>
          <cell r="K1055">
            <v>0</v>
          </cell>
          <cell r="L1055">
            <v>0</v>
          </cell>
        </row>
        <row r="1056">
          <cell r="A1056">
            <v>4</v>
          </cell>
          <cell r="B1056">
            <v>0</v>
          </cell>
          <cell r="C1056">
            <v>301</v>
          </cell>
          <cell r="D1056" t="str">
            <v xml:space="preserve">  </v>
          </cell>
          <cell r="E1056" t="str">
            <v xml:space="preserve">    </v>
          </cell>
          <cell r="F1056" t="str">
            <v xml:space="preserve">   </v>
          </cell>
          <cell r="G1056">
            <v>40301</v>
          </cell>
          <cell r="H1056">
            <v>14697.92</v>
          </cell>
          <cell r="I1056">
            <v>14697.92</v>
          </cell>
          <cell r="J1056">
            <v>0</v>
          </cell>
          <cell r="K1056">
            <v>0</v>
          </cell>
          <cell r="L1056">
            <v>0</v>
          </cell>
        </row>
        <row r="1057">
          <cell r="A1057">
            <v>5</v>
          </cell>
          <cell r="B1057">
            <v>0</v>
          </cell>
          <cell r="C1057">
            <v>301</v>
          </cell>
          <cell r="D1057" t="str">
            <v xml:space="preserve">  </v>
          </cell>
          <cell r="E1057" t="str">
            <v xml:space="preserve">    </v>
          </cell>
          <cell r="F1057" t="str">
            <v xml:space="preserve">   </v>
          </cell>
          <cell r="G1057">
            <v>50301</v>
          </cell>
          <cell r="H1057">
            <v>14698</v>
          </cell>
          <cell r="I1057">
            <v>14698</v>
          </cell>
          <cell r="J1057">
            <v>0</v>
          </cell>
          <cell r="K1057">
            <v>0</v>
          </cell>
          <cell r="L1057">
            <v>0</v>
          </cell>
        </row>
        <row r="1058">
          <cell r="A1058">
            <v>3</v>
          </cell>
          <cell r="B1058">
            <v>0</v>
          </cell>
          <cell r="C1058">
            <v>302</v>
          </cell>
          <cell r="D1058" t="str">
            <v xml:space="preserve">  </v>
          </cell>
          <cell r="E1058" t="str">
            <v xml:space="preserve">    </v>
          </cell>
          <cell r="F1058" t="str">
            <v xml:space="preserve">   </v>
          </cell>
          <cell r="G1058">
            <v>30302</v>
          </cell>
          <cell r="H1058">
            <v>343855.93</v>
          </cell>
          <cell r="I1058">
            <v>343855.93</v>
          </cell>
          <cell r="J1058">
            <v>0</v>
          </cell>
          <cell r="K1058">
            <v>0</v>
          </cell>
          <cell r="L1058">
            <v>0</v>
          </cell>
        </row>
        <row r="1059">
          <cell r="A1059">
            <v>4</v>
          </cell>
          <cell r="B1059">
            <v>0</v>
          </cell>
          <cell r="C1059">
            <v>302</v>
          </cell>
          <cell r="D1059" t="str">
            <v xml:space="preserve">  </v>
          </cell>
          <cell r="E1059" t="str">
            <v xml:space="preserve">    </v>
          </cell>
          <cell r="F1059" t="str">
            <v xml:space="preserve">   </v>
          </cell>
          <cell r="G1059">
            <v>40302</v>
          </cell>
          <cell r="H1059">
            <v>343855.63</v>
          </cell>
          <cell r="I1059">
            <v>343855.63</v>
          </cell>
          <cell r="J1059">
            <v>0</v>
          </cell>
          <cell r="K1059">
            <v>0</v>
          </cell>
          <cell r="L1059">
            <v>0</v>
          </cell>
        </row>
        <row r="1060">
          <cell r="A1060">
            <v>5</v>
          </cell>
          <cell r="B1060">
            <v>0</v>
          </cell>
          <cell r="C1060">
            <v>302</v>
          </cell>
          <cell r="D1060" t="str">
            <v xml:space="preserve">  </v>
          </cell>
          <cell r="E1060" t="str">
            <v xml:space="preserve">    </v>
          </cell>
          <cell r="F1060" t="str">
            <v xml:space="preserve">   </v>
          </cell>
          <cell r="G1060">
            <v>50302</v>
          </cell>
          <cell r="H1060">
            <v>343855.88</v>
          </cell>
          <cell r="I1060">
            <v>343855.88</v>
          </cell>
          <cell r="J1060">
            <v>0</v>
          </cell>
          <cell r="K1060">
            <v>0</v>
          </cell>
          <cell r="L1060">
            <v>0</v>
          </cell>
        </row>
        <row r="1061">
          <cell r="A1061">
            <v>3</v>
          </cell>
          <cell r="B1061">
            <v>0</v>
          </cell>
          <cell r="C1061">
            <v>310</v>
          </cell>
          <cell r="D1061" t="str">
            <v xml:space="preserve">  </v>
          </cell>
          <cell r="E1061" t="str">
            <v xml:space="preserve">    </v>
          </cell>
          <cell r="F1061" t="str">
            <v xml:space="preserve">   </v>
          </cell>
          <cell r="G1061">
            <v>30310</v>
          </cell>
          <cell r="H1061">
            <v>2445731.08</v>
          </cell>
          <cell r="I1061">
            <v>2445731.08</v>
          </cell>
          <cell r="J1061">
            <v>0</v>
          </cell>
          <cell r="K1061">
            <v>0</v>
          </cell>
          <cell r="L1061">
            <v>0</v>
          </cell>
        </row>
        <row r="1062">
          <cell r="A1062">
            <v>4</v>
          </cell>
          <cell r="B1062">
            <v>0</v>
          </cell>
          <cell r="C1062">
            <v>310</v>
          </cell>
          <cell r="D1062" t="str">
            <v xml:space="preserve">  </v>
          </cell>
          <cell r="E1062" t="str">
            <v xml:space="preserve">    </v>
          </cell>
          <cell r="F1062" t="str">
            <v xml:space="preserve">   </v>
          </cell>
          <cell r="G1062">
            <v>40310</v>
          </cell>
          <cell r="H1062">
            <v>2445793.0099999998</v>
          </cell>
          <cell r="I1062">
            <v>2445793.0099999998</v>
          </cell>
          <cell r="J1062">
            <v>0</v>
          </cell>
          <cell r="K1062">
            <v>0</v>
          </cell>
          <cell r="L1062">
            <v>0</v>
          </cell>
        </row>
        <row r="1063">
          <cell r="A1063">
            <v>5</v>
          </cell>
          <cell r="B1063">
            <v>0</v>
          </cell>
          <cell r="C1063">
            <v>310</v>
          </cell>
          <cell r="D1063" t="str">
            <v xml:space="preserve">  </v>
          </cell>
          <cell r="E1063" t="str">
            <v xml:space="preserve">    </v>
          </cell>
          <cell r="F1063" t="str">
            <v xml:space="preserve">   </v>
          </cell>
          <cell r="G1063">
            <v>50310</v>
          </cell>
          <cell r="H1063">
            <v>2445731.08</v>
          </cell>
          <cell r="I1063">
            <v>2445731.08</v>
          </cell>
          <cell r="J1063">
            <v>0</v>
          </cell>
          <cell r="K1063">
            <v>0</v>
          </cell>
          <cell r="L1063">
            <v>0</v>
          </cell>
        </row>
        <row r="1064">
          <cell r="A1064">
            <v>3</v>
          </cell>
          <cell r="B1064">
            <v>0</v>
          </cell>
          <cell r="C1064">
            <v>311</v>
          </cell>
          <cell r="D1064" t="str">
            <v xml:space="preserve">  </v>
          </cell>
          <cell r="E1064" t="str">
            <v xml:space="preserve">    </v>
          </cell>
          <cell r="F1064" t="str">
            <v xml:space="preserve">   </v>
          </cell>
          <cell r="G1064">
            <v>30311</v>
          </cell>
          <cell r="H1064">
            <v>129092515.01000001</v>
          </cell>
          <cell r="I1064">
            <v>129092515.01000001</v>
          </cell>
          <cell r="J1064">
            <v>0</v>
          </cell>
          <cell r="K1064">
            <v>0</v>
          </cell>
          <cell r="L1064">
            <v>0</v>
          </cell>
        </row>
        <row r="1065">
          <cell r="A1065">
            <v>4</v>
          </cell>
          <cell r="B1065">
            <v>0</v>
          </cell>
          <cell r="C1065">
            <v>311</v>
          </cell>
          <cell r="D1065" t="str">
            <v xml:space="preserve">  </v>
          </cell>
          <cell r="E1065" t="str">
            <v xml:space="preserve">    </v>
          </cell>
          <cell r="F1065" t="str">
            <v xml:space="preserve">   </v>
          </cell>
          <cell r="G1065">
            <v>40311</v>
          </cell>
          <cell r="H1065">
            <v>129127255.75</v>
          </cell>
          <cell r="I1065">
            <v>129127255.75</v>
          </cell>
          <cell r="J1065">
            <v>0</v>
          </cell>
          <cell r="K1065">
            <v>0</v>
          </cell>
          <cell r="L1065">
            <v>0</v>
          </cell>
        </row>
        <row r="1066">
          <cell r="A1066">
            <v>5</v>
          </cell>
          <cell r="B1066">
            <v>0</v>
          </cell>
          <cell r="C1066">
            <v>311</v>
          </cell>
          <cell r="D1066" t="str">
            <v xml:space="preserve">  </v>
          </cell>
          <cell r="E1066" t="str">
            <v xml:space="preserve">    </v>
          </cell>
          <cell r="F1066" t="str">
            <v xml:space="preserve">   </v>
          </cell>
          <cell r="G1066">
            <v>50311</v>
          </cell>
          <cell r="H1066">
            <v>129090202.45999999</v>
          </cell>
          <cell r="I1066">
            <v>129090202.45999999</v>
          </cell>
          <cell r="J1066">
            <v>0</v>
          </cell>
          <cell r="K1066">
            <v>0</v>
          </cell>
          <cell r="L1066">
            <v>0</v>
          </cell>
        </row>
        <row r="1067">
          <cell r="A1067">
            <v>3</v>
          </cell>
          <cell r="B1067">
            <v>0</v>
          </cell>
          <cell r="C1067">
            <v>312</v>
          </cell>
          <cell r="D1067" t="str">
            <v xml:space="preserve">  </v>
          </cell>
          <cell r="E1067" t="str">
            <v xml:space="preserve">    </v>
          </cell>
          <cell r="F1067" t="str">
            <v xml:space="preserve">   </v>
          </cell>
          <cell r="G1067">
            <v>30312</v>
          </cell>
          <cell r="H1067">
            <v>186118607</v>
          </cell>
          <cell r="I1067">
            <v>186118607</v>
          </cell>
          <cell r="J1067">
            <v>0</v>
          </cell>
          <cell r="K1067">
            <v>0</v>
          </cell>
          <cell r="L1067">
            <v>0</v>
          </cell>
        </row>
        <row r="1068">
          <cell r="A1068">
            <v>4</v>
          </cell>
          <cell r="B1068">
            <v>0</v>
          </cell>
          <cell r="C1068">
            <v>312</v>
          </cell>
          <cell r="D1068" t="str">
            <v xml:space="preserve">  </v>
          </cell>
          <cell r="E1068" t="str">
            <v xml:space="preserve">    </v>
          </cell>
          <cell r="F1068" t="str">
            <v xml:space="preserve">   </v>
          </cell>
          <cell r="G1068">
            <v>40312</v>
          </cell>
          <cell r="H1068">
            <v>187336690.71000001</v>
          </cell>
          <cell r="I1068">
            <v>187336690.71000001</v>
          </cell>
          <cell r="J1068">
            <v>0</v>
          </cell>
          <cell r="K1068">
            <v>0</v>
          </cell>
          <cell r="L1068">
            <v>0</v>
          </cell>
        </row>
        <row r="1069">
          <cell r="A1069">
            <v>5</v>
          </cell>
          <cell r="B1069">
            <v>0</v>
          </cell>
          <cell r="C1069">
            <v>312</v>
          </cell>
          <cell r="D1069" t="str">
            <v xml:space="preserve">  </v>
          </cell>
          <cell r="E1069" t="str">
            <v xml:space="preserve">    </v>
          </cell>
          <cell r="F1069" t="str">
            <v xml:space="preserve">   </v>
          </cell>
          <cell r="G1069">
            <v>50312</v>
          </cell>
          <cell r="H1069">
            <v>187324891.33000001</v>
          </cell>
          <cell r="I1069">
            <v>187324891.33000001</v>
          </cell>
          <cell r="J1069">
            <v>0</v>
          </cell>
          <cell r="K1069">
            <v>0</v>
          </cell>
          <cell r="L1069">
            <v>0</v>
          </cell>
        </row>
        <row r="1070">
          <cell r="A1070">
            <v>3</v>
          </cell>
          <cell r="B1070">
            <v>0</v>
          </cell>
          <cell r="C1070">
            <v>314</v>
          </cell>
          <cell r="D1070" t="str">
            <v xml:space="preserve">  </v>
          </cell>
          <cell r="E1070" t="str">
            <v xml:space="preserve">    </v>
          </cell>
          <cell r="F1070" t="str">
            <v xml:space="preserve">   </v>
          </cell>
          <cell r="G1070">
            <v>30314</v>
          </cell>
          <cell r="H1070">
            <v>56534963.359999999</v>
          </cell>
          <cell r="I1070">
            <v>56534963.359999999</v>
          </cell>
          <cell r="J1070">
            <v>0</v>
          </cell>
          <cell r="K1070">
            <v>0</v>
          </cell>
          <cell r="L1070">
            <v>0</v>
          </cell>
        </row>
        <row r="1071">
          <cell r="A1071">
            <v>4</v>
          </cell>
          <cell r="B1071">
            <v>0</v>
          </cell>
          <cell r="C1071">
            <v>314</v>
          </cell>
          <cell r="D1071" t="str">
            <v xml:space="preserve">  </v>
          </cell>
          <cell r="E1071" t="str">
            <v xml:space="preserve">    </v>
          </cell>
          <cell r="F1071" t="str">
            <v xml:space="preserve">   </v>
          </cell>
          <cell r="G1071">
            <v>40314</v>
          </cell>
          <cell r="H1071">
            <v>56847703.539999999</v>
          </cell>
          <cell r="I1071">
            <v>56847703.539999999</v>
          </cell>
          <cell r="J1071">
            <v>0</v>
          </cell>
          <cell r="K1071">
            <v>0</v>
          </cell>
          <cell r="L1071">
            <v>0</v>
          </cell>
        </row>
        <row r="1072">
          <cell r="A1072">
            <v>5</v>
          </cell>
          <cell r="B1072">
            <v>0</v>
          </cell>
          <cell r="C1072">
            <v>314</v>
          </cell>
          <cell r="D1072" t="str">
            <v xml:space="preserve">  </v>
          </cell>
          <cell r="E1072" t="str">
            <v xml:space="preserve">    </v>
          </cell>
          <cell r="F1072" t="str">
            <v xml:space="preserve">   </v>
          </cell>
          <cell r="G1072">
            <v>50314</v>
          </cell>
          <cell r="H1072">
            <v>56921585.609999999</v>
          </cell>
          <cell r="I1072">
            <v>56921585.609999999</v>
          </cell>
          <cell r="J1072">
            <v>0</v>
          </cell>
          <cell r="K1072">
            <v>0</v>
          </cell>
          <cell r="L1072">
            <v>0</v>
          </cell>
        </row>
        <row r="1073">
          <cell r="A1073">
            <v>3</v>
          </cell>
          <cell r="B1073">
            <v>0</v>
          </cell>
          <cell r="C1073">
            <v>315</v>
          </cell>
          <cell r="D1073" t="str">
            <v xml:space="preserve">  </v>
          </cell>
          <cell r="E1073" t="str">
            <v xml:space="preserve">    </v>
          </cell>
          <cell r="F1073" t="str">
            <v xml:space="preserve">   </v>
          </cell>
          <cell r="G1073">
            <v>30315</v>
          </cell>
          <cell r="H1073">
            <v>26664060.710000001</v>
          </cell>
          <cell r="I1073">
            <v>26664060.710000001</v>
          </cell>
          <cell r="J1073">
            <v>0</v>
          </cell>
          <cell r="K1073">
            <v>0</v>
          </cell>
          <cell r="L1073">
            <v>0</v>
          </cell>
        </row>
        <row r="1074">
          <cell r="A1074">
            <v>4</v>
          </cell>
          <cell r="B1074">
            <v>0</v>
          </cell>
          <cell r="C1074">
            <v>315</v>
          </cell>
          <cell r="D1074" t="str">
            <v xml:space="preserve">  </v>
          </cell>
          <cell r="E1074" t="str">
            <v xml:space="preserve">    </v>
          </cell>
          <cell r="F1074" t="str">
            <v xml:space="preserve">   </v>
          </cell>
          <cell r="G1074">
            <v>40315</v>
          </cell>
          <cell r="H1074">
            <v>26799599.960000001</v>
          </cell>
          <cell r="I1074">
            <v>26799599.960000001</v>
          </cell>
          <cell r="J1074">
            <v>0</v>
          </cell>
          <cell r="K1074">
            <v>0</v>
          </cell>
          <cell r="L1074">
            <v>0</v>
          </cell>
        </row>
        <row r="1075">
          <cell r="A1075">
            <v>5</v>
          </cell>
          <cell r="B1075">
            <v>0</v>
          </cell>
          <cell r="C1075">
            <v>315</v>
          </cell>
          <cell r="D1075" t="str">
            <v xml:space="preserve">  </v>
          </cell>
          <cell r="E1075" t="str">
            <v xml:space="preserve">    </v>
          </cell>
          <cell r="F1075" t="str">
            <v xml:space="preserve">   </v>
          </cell>
          <cell r="G1075">
            <v>50315</v>
          </cell>
          <cell r="H1075">
            <v>26739686.940000001</v>
          </cell>
          <cell r="I1075">
            <v>26739686.940000001</v>
          </cell>
          <cell r="J1075">
            <v>0</v>
          </cell>
          <cell r="K1075">
            <v>0</v>
          </cell>
          <cell r="L1075">
            <v>0</v>
          </cell>
        </row>
        <row r="1076">
          <cell r="A1076">
            <v>3</v>
          </cell>
          <cell r="B1076">
            <v>0</v>
          </cell>
          <cell r="C1076">
            <v>316</v>
          </cell>
          <cell r="D1076" t="str">
            <v xml:space="preserve">  </v>
          </cell>
          <cell r="E1076" t="str">
            <v xml:space="preserve">    </v>
          </cell>
          <cell r="F1076" t="str">
            <v xml:space="preserve">   </v>
          </cell>
          <cell r="G1076">
            <v>30316</v>
          </cell>
          <cell r="H1076">
            <v>15498538.9</v>
          </cell>
          <cell r="I1076">
            <v>15498538.9</v>
          </cell>
          <cell r="J1076">
            <v>0</v>
          </cell>
          <cell r="K1076">
            <v>0</v>
          </cell>
          <cell r="L1076">
            <v>0</v>
          </cell>
        </row>
        <row r="1077">
          <cell r="A1077">
            <v>4</v>
          </cell>
          <cell r="B1077">
            <v>0</v>
          </cell>
          <cell r="C1077">
            <v>316</v>
          </cell>
          <cell r="D1077" t="str">
            <v xml:space="preserve">  </v>
          </cell>
          <cell r="E1077" t="str">
            <v xml:space="preserve">    </v>
          </cell>
          <cell r="F1077" t="str">
            <v xml:space="preserve">   </v>
          </cell>
          <cell r="G1077">
            <v>40316</v>
          </cell>
          <cell r="H1077">
            <v>15373911.23</v>
          </cell>
          <cell r="I1077">
            <v>15373911.23</v>
          </cell>
          <cell r="J1077">
            <v>0</v>
          </cell>
          <cell r="K1077">
            <v>0</v>
          </cell>
          <cell r="L1077">
            <v>0</v>
          </cell>
        </row>
        <row r="1078">
          <cell r="A1078">
            <v>5</v>
          </cell>
          <cell r="B1078">
            <v>0</v>
          </cell>
          <cell r="C1078">
            <v>316</v>
          </cell>
          <cell r="D1078" t="str">
            <v xml:space="preserve">  </v>
          </cell>
          <cell r="E1078" t="str">
            <v xml:space="preserve">    </v>
          </cell>
          <cell r="F1078" t="str">
            <v xml:space="preserve">   </v>
          </cell>
          <cell r="G1078">
            <v>50316</v>
          </cell>
          <cell r="H1078">
            <v>15497343.699999999</v>
          </cell>
          <cell r="I1078">
            <v>15497343.699999999</v>
          </cell>
          <cell r="J1078">
            <v>0</v>
          </cell>
          <cell r="K1078">
            <v>0</v>
          </cell>
          <cell r="L1078">
            <v>0</v>
          </cell>
        </row>
        <row r="1079">
          <cell r="A1079">
            <v>3</v>
          </cell>
          <cell r="B1079">
            <v>0</v>
          </cell>
          <cell r="C1079">
            <v>330</v>
          </cell>
          <cell r="D1079" t="str">
            <v xml:space="preserve">  </v>
          </cell>
          <cell r="E1079" t="str">
            <v xml:space="preserve">    </v>
          </cell>
          <cell r="F1079" t="str">
            <v xml:space="preserve">   </v>
          </cell>
          <cell r="G1079">
            <v>30330</v>
          </cell>
          <cell r="H1079">
            <v>47831683.409999996</v>
          </cell>
          <cell r="I1079">
            <v>47831683.409999996</v>
          </cell>
          <cell r="J1079">
            <v>0</v>
          </cell>
          <cell r="K1079">
            <v>0</v>
          </cell>
          <cell r="L1079">
            <v>0</v>
          </cell>
        </row>
        <row r="1080">
          <cell r="A1080">
            <v>4</v>
          </cell>
          <cell r="B1080">
            <v>0</v>
          </cell>
          <cell r="C1080">
            <v>330</v>
          </cell>
          <cell r="D1080" t="str">
            <v xml:space="preserve">  </v>
          </cell>
          <cell r="E1080" t="str">
            <v xml:space="preserve">    </v>
          </cell>
          <cell r="F1080" t="str">
            <v xml:space="preserve">   </v>
          </cell>
          <cell r="G1080">
            <v>40330</v>
          </cell>
          <cell r="H1080">
            <v>47610098.210000001</v>
          </cell>
          <cell r="I1080">
            <v>47610098.210000001</v>
          </cell>
          <cell r="J1080">
            <v>0</v>
          </cell>
          <cell r="K1080">
            <v>0</v>
          </cell>
          <cell r="L1080">
            <v>0</v>
          </cell>
        </row>
        <row r="1081">
          <cell r="A1081">
            <v>5</v>
          </cell>
          <cell r="B1081">
            <v>0</v>
          </cell>
          <cell r="C1081">
            <v>330</v>
          </cell>
          <cell r="D1081" t="str">
            <v xml:space="preserve">  </v>
          </cell>
          <cell r="E1081" t="str">
            <v xml:space="preserve">    </v>
          </cell>
          <cell r="F1081" t="str">
            <v xml:space="preserve">   </v>
          </cell>
          <cell r="G1081">
            <v>50330</v>
          </cell>
          <cell r="H1081">
            <v>47831683.219999999</v>
          </cell>
          <cell r="I1081">
            <v>47831683.219999999</v>
          </cell>
          <cell r="J1081">
            <v>0</v>
          </cell>
          <cell r="K1081">
            <v>0</v>
          </cell>
          <cell r="L1081">
            <v>0</v>
          </cell>
        </row>
        <row r="1082">
          <cell r="A1082">
            <v>3</v>
          </cell>
          <cell r="B1082">
            <v>0</v>
          </cell>
          <cell r="C1082">
            <v>331</v>
          </cell>
          <cell r="D1082" t="str">
            <v xml:space="preserve">  </v>
          </cell>
          <cell r="E1082" t="str">
            <v xml:space="preserve">    </v>
          </cell>
          <cell r="F1082" t="str">
            <v xml:space="preserve">   </v>
          </cell>
          <cell r="G1082">
            <v>30331</v>
          </cell>
          <cell r="H1082">
            <v>35213169.140000001</v>
          </cell>
          <cell r="I1082">
            <v>35213169.140000001</v>
          </cell>
          <cell r="J1082">
            <v>0</v>
          </cell>
          <cell r="K1082">
            <v>0</v>
          </cell>
          <cell r="L1082">
            <v>0</v>
          </cell>
        </row>
        <row r="1083">
          <cell r="A1083">
            <v>4</v>
          </cell>
          <cell r="B1083">
            <v>0</v>
          </cell>
          <cell r="C1083">
            <v>331</v>
          </cell>
          <cell r="D1083" t="str">
            <v xml:space="preserve">  </v>
          </cell>
          <cell r="E1083" t="str">
            <v xml:space="preserve">    </v>
          </cell>
          <cell r="F1083" t="str">
            <v xml:space="preserve">   </v>
          </cell>
          <cell r="G1083">
            <v>40331</v>
          </cell>
          <cell r="H1083">
            <v>35088249.659999996</v>
          </cell>
          <cell r="I1083">
            <v>35088249.659999996</v>
          </cell>
          <cell r="J1083">
            <v>0</v>
          </cell>
          <cell r="K1083">
            <v>0</v>
          </cell>
          <cell r="L1083">
            <v>0</v>
          </cell>
        </row>
        <row r="1084">
          <cell r="A1084">
            <v>5</v>
          </cell>
          <cell r="B1084">
            <v>0</v>
          </cell>
          <cell r="C1084">
            <v>331</v>
          </cell>
          <cell r="D1084" t="str">
            <v xml:space="preserve">  </v>
          </cell>
          <cell r="E1084" t="str">
            <v xml:space="preserve">    </v>
          </cell>
          <cell r="F1084" t="str">
            <v xml:space="preserve">   </v>
          </cell>
          <cell r="G1084">
            <v>50331</v>
          </cell>
          <cell r="H1084">
            <v>35237628.299999997</v>
          </cell>
          <cell r="I1084">
            <v>35237628.299999997</v>
          </cell>
          <cell r="J1084">
            <v>0</v>
          </cell>
          <cell r="K1084">
            <v>0</v>
          </cell>
          <cell r="L1084">
            <v>0</v>
          </cell>
        </row>
        <row r="1085">
          <cell r="A1085">
            <v>3</v>
          </cell>
          <cell r="B1085">
            <v>0</v>
          </cell>
          <cell r="C1085">
            <v>332</v>
          </cell>
          <cell r="D1085" t="str">
            <v xml:space="preserve">  </v>
          </cell>
          <cell r="E1085" t="str">
            <v xml:space="preserve">    </v>
          </cell>
          <cell r="F1085" t="str">
            <v xml:space="preserve">   </v>
          </cell>
          <cell r="G1085">
            <v>30332</v>
          </cell>
          <cell r="H1085">
            <v>87873703.609999999</v>
          </cell>
          <cell r="I1085">
            <v>87873703.609999999</v>
          </cell>
          <cell r="J1085">
            <v>0</v>
          </cell>
          <cell r="K1085">
            <v>0</v>
          </cell>
          <cell r="L1085">
            <v>0</v>
          </cell>
        </row>
        <row r="1086">
          <cell r="A1086">
            <v>4</v>
          </cell>
          <cell r="B1086">
            <v>0</v>
          </cell>
          <cell r="C1086">
            <v>332</v>
          </cell>
          <cell r="D1086" t="str">
            <v xml:space="preserve">  </v>
          </cell>
          <cell r="E1086" t="str">
            <v xml:space="preserve">    </v>
          </cell>
          <cell r="F1086" t="str">
            <v xml:space="preserve">   </v>
          </cell>
          <cell r="G1086">
            <v>40332</v>
          </cell>
          <cell r="H1086">
            <v>85927896.140000001</v>
          </cell>
          <cell r="I1086">
            <v>85927896.140000001</v>
          </cell>
          <cell r="J1086">
            <v>0</v>
          </cell>
          <cell r="K1086">
            <v>0</v>
          </cell>
          <cell r="L1086">
            <v>0</v>
          </cell>
        </row>
        <row r="1087">
          <cell r="A1087">
            <v>5</v>
          </cell>
          <cell r="B1087">
            <v>0</v>
          </cell>
          <cell r="C1087">
            <v>332</v>
          </cell>
          <cell r="D1087" t="str">
            <v xml:space="preserve">  </v>
          </cell>
          <cell r="E1087" t="str">
            <v xml:space="preserve">    </v>
          </cell>
          <cell r="F1087" t="str">
            <v xml:space="preserve">   </v>
          </cell>
          <cell r="G1087">
            <v>50332</v>
          </cell>
          <cell r="H1087">
            <v>87285922.689999998</v>
          </cell>
          <cell r="I1087">
            <v>87285922.689999998</v>
          </cell>
          <cell r="J1087">
            <v>0</v>
          </cell>
          <cell r="K1087">
            <v>0</v>
          </cell>
          <cell r="L1087">
            <v>0</v>
          </cell>
        </row>
        <row r="1088">
          <cell r="A1088">
            <v>3</v>
          </cell>
          <cell r="B1088">
            <v>0</v>
          </cell>
          <cell r="C1088">
            <v>333</v>
          </cell>
          <cell r="D1088" t="str">
            <v xml:space="preserve">  </v>
          </cell>
          <cell r="E1088" t="str">
            <v xml:space="preserve">    </v>
          </cell>
          <cell r="F1088" t="str">
            <v xml:space="preserve">   </v>
          </cell>
          <cell r="G1088">
            <v>30333</v>
          </cell>
          <cell r="H1088">
            <v>83949736.640000001</v>
          </cell>
          <cell r="I1088">
            <v>83949736.640000001</v>
          </cell>
          <cell r="J1088">
            <v>0</v>
          </cell>
          <cell r="K1088">
            <v>0</v>
          </cell>
          <cell r="L1088">
            <v>0</v>
          </cell>
        </row>
        <row r="1089">
          <cell r="A1089">
            <v>4</v>
          </cell>
          <cell r="B1089">
            <v>0</v>
          </cell>
          <cell r="C1089">
            <v>333</v>
          </cell>
          <cell r="D1089" t="str">
            <v xml:space="preserve">  </v>
          </cell>
          <cell r="E1089" t="str">
            <v xml:space="preserve">    </v>
          </cell>
          <cell r="F1089" t="str">
            <v xml:space="preserve">   </v>
          </cell>
          <cell r="G1089">
            <v>40333</v>
          </cell>
          <cell r="H1089">
            <v>83240743.370000005</v>
          </cell>
          <cell r="I1089">
            <v>83240743.370000005</v>
          </cell>
          <cell r="J1089">
            <v>0</v>
          </cell>
          <cell r="K1089">
            <v>0</v>
          </cell>
          <cell r="L1089">
            <v>0</v>
          </cell>
        </row>
        <row r="1090">
          <cell r="A1090">
            <v>5</v>
          </cell>
          <cell r="B1090">
            <v>0</v>
          </cell>
          <cell r="C1090">
            <v>333</v>
          </cell>
          <cell r="D1090" t="str">
            <v xml:space="preserve">  </v>
          </cell>
          <cell r="E1090" t="str">
            <v xml:space="preserve">    </v>
          </cell>
          <cell r="F1090" t="str">
            <v xml:space="preserve">   </v>
          </cell>
          <cell r="G1090">
            <v>50333</v>
          </cell>
          <cell r="H1090">
            <v>83637003.689999998</v>
          </cell>
          <cell r="I1090">
            <v>83637003.689999998</v>
          </cell>
          <cell r="J1090">
            <v>0</v>
          </cell>
          <cell r="K1090">
            <v>0</v>
          </cell>
          <cell r="L1090">
            <v>0</v>
          </cell>
        </row>
        <row r="1091">
          <cell r="A1091">
            <v>3</v>
          </cell>
          <cell r="B1091">
            <v>0</v>
          </cell>
          <cell r="C1091">
            <v>334</v>
          </cell>
          <cell r="D1091" t="str">
            <v xml:space="preserve">  </v>
          </cell>
          <cell r="E1091" t="str">
            <v xml:space="preserve">    </v>
          </cell>
          <cell r="F1091" t="str">
            <v xml:space="preserve">   </v>
          </cell>
          <cell r="G1091">
            <v>30334</v>
          </cell>
          <cell r="H1091">
            <v>19091483.010000002</v>
          </cell>
          <cell r="I1091">
            <v>19091483.010000002</v>
          </cell>
          <cell r="J1091">
            <v>0</v>
          </cell>
          <cell r="K1091">
            <v>0</v>
          </cell>
          <cell r="L1091">
            <v>0</v>
          </cell>
        </row>
        <row r="1092">
          <cell r="A1092">
            <v>4</v>
          </cell>
          <cell r="B1092">
            <v>0</v>
          </cell>
          <cell r="C1092">
            <v>334</v>
          </cell>
          <cell r="D1092" t="str">
            <v xml:space="preserve">  </v>
          </cell>
          <cell r="E1092" t="str">
            <v xml:space="preserve">    </v>
          </cell>
          <cell r="F1092" t="str">
            <v xml:space="preserve">   </v>
          </cell>
          <cell r="G1092">
            <v>40334</v>
          </cell>
          <cell r="H1092">
            <v>18032470.050000001</v>
          </cell>
          <cell r="I1092">
            <v>18032470.050000001</v>
          </cell>
          <cell r="J1092">
            <v>0</v>
          </cell>
          <cell r="K1092">
            <v>0</v>
          </cell>
          <cell r="L1092">
            <v>0</v>
          </cell>
        </row>
        <row r="1093">
          <cell r="A1093">
            <v>5</v>
          </cell>
          <cell r="B1093">
            <v>0</v>
          </cell>
          <cell r="C1093">
            <v>334</v>
          </cell>
          <cell r="D1093" t="str">
            <v xml:space="preserve">  </v>
          </cell>
          <cell r="E1093" t="str">
            <v xml:space="preserve">    </v>
          </cell>
          <cell r="F1093" t="str">
            <v xml:space="preserve">   </v>
          </cell>
          <cell r="G1093">
            <v>50334</v>
          </cell>
          <cell r="H1093">
            <v>18804651.989999998</v>
          </cell>
          <cell r="I1093">
            <v>18804651.989999998</v>
          </cell>
          <cell r="J1093">
            <v>0</v>
          </cell>
          <cell r="K1093">
            <v>0</v>
          </cell>
          <cell r="L1093">
            <v>0</v>
          </cell>
        </row>
        <row r="1094">
          <cell r="A1094">
            <v>3</v>
          </cell>
          <cell r="B1094">
            <v>0</v>
          </cell>
          <cell r="C1094">
            <v>335</v>
          </cell>
          <cell r="D1094" t="str">
            <v xml:space="preserve">  </v>
          </cell>
          <cell r="E1094" t="str">
            <v xml:space="preserve">    </v>
          </cell>
          <cell r="F1094" t="str">
            <v xml:space="preserve">   </v>
          </cell>
          <cell r="G1094">
            <v>30335</v>
          </cell>
          <cell r="H1094">
            <v>4400891.3899999997</v>
          </cell>
          <cell r="I1094">
            <v>4400891.3899999997</v>
          </cell>
          <cell r="J1094">
            <v>0</v>
          </cell>
          <cell r="K1094">
            <v>0</v>
          </cell>
          <cell r="L1094">
            <v>0</v>
          </cell>
        </row>
        <row r="1095">
          <cell r="A1095">
            <v>4</v>
          </cell>
          <cell r="B1095">
            <v>0</v>
          </cell>
          <cell r="C1095">
            <v>335</v>
          </cell>
          <cell r="D1095" t="str">
            <v xml:space="preserve">  </v>
          </cell>
          <cell r="E1095" t="str">
            <v xml:space="preserve">    </v>
          </cell>
          <cell r="F1095" t="str">
            <v xml:space="preserve">   </v>
          </cell>
          <cell r="G1095">
            <v>40335</v>
          </cell>
          <cell r="H1095">
            <v>4341026.78</v>
          </cell>
          <cell r="I1095">
            <v>4341026.78</v>
          </cell>
          <cell r="J1095">
            <v>0</v>
          </cell>
          <cell r="K1095">
            <v>0</v>
          </cell>
          <cell r="L1095">
            <v>0</v>
          </cell>
        </row>
        <row r="1096">
          <cell r="A1096">
            <v>5</v>
          </cell>
          <cell r="B1096">
            <v>0</v>
          </cell>
          <cell r="C1096">
            <v>335</v>
          </cell>
          <cell r="D1096" t="str">
            <v xml:space="preserve">  </v>
          </cell>
          <cell r="E1096" t="str">
            <v xml:space="preserve">    </v>
          </cell>
          <cell r="F1096" t="str">
            <v xml:space="preserve">   </v>
          </cell>
          <cell r="G1096">
            <v>50335</v>
          </cell>
          <cell r="H1096">
            <v>4392239.4000000004</v>
          </cell>
          <cell r="I1096">
            <v>4392239.4000000004</v>
          </cell>
          <cell r="J1096">
            <v>0</v>
          </cell>
          <cell r="K1096">
            <v>0</v>
          </cell>
          <cell r="L1096">
            <v>0</v>
          </cell>
        </row>
        <row r="1097">
          <cell r="A1097">
            <v>3</v>
          </cell>
          <cell r="B1097">
            <v>0</v>
          </cell>
          <cell r="C1097">
            <v>336</v>
          </cell>
          <cell r="D1097" t="str">
            <v xml:space="preserve">  </v>
          </cell>
          <cell r="E1097" t="str">
            <v xml:space="preserve">    </v>
          </cell>
          <cell r="F1097" t="str">
            <v xml:space="preserve">   </v>
          </cell>
          <cell r="G1097">
            <v>30336</v>
          </cell>
          <cell r="H1097">
            <v>1790185.28</v>
          </cell>
          <cell r="I1097">
            <v>1790185.28</v>
          </cell>
          <cell r="J1097">
            <v>0</v>
          </cell>
          <cell r="K1097">
            <v>0</v>
          </cell>
          <cell r="L1097">
            <v>0</v>
          </cell>
        </row>
        <row r="1098">
          <cell r="A1098">
            <v>4</v>
          </cell>
          <cell r="B1098">
            <v>0</v>
          </cell>
          <cell r="C1098">
            <v>336</v>
          </cell>
          <cell r="D1098" t="str">
            <v xml:space="preserve">  </v>
          </cell>
          <cell r="E1098" t="str">
            <v xml:space="preserve">    </v>
          </cell>
          <cell r="F1098" t="str">
            <v xml:space="preserve">   </v>
          </cell>
          <cell r="G1098">
            <v>40336</v>
          </cell>
          <cell r="H1098">
            <v>1755224.54</v>
          </cell>
          <cell r="I1098">
            <v>1755224.54</v>
          </cell>
          <cell r="J1098">
            <v>0</v>
          </cell>
          <cell r="K1098">
            <v>0</v>
          </cell>
          <cell r="L1098">
            <v>0</v>
          </cell>
        </row>
        <row r="1099">
          <cell r="A1099">
            <v>5</v>
          </cell>
          <cell r="B1099">
            <v>0</v>
          </cell>
          <cell r="C1099">
            <v>336</v>
          </cell>
          <cell r="D1099" t="str">
            <v xml:space="preserve">  </v>
          </cell>
          <cell r="E1099" t="str">
            <v xml:space="preserve">    </v>
          </cell>
          <cell r="F1099" t="str">
            <v xml:space="preserve">   </v>
          </cell>
          <cell r="G1099">
            <v>50336</v>
          </cell>
          <cell r="H1099">
            <v>1790185.24</v>
          </cell>
          <cell r="I1099">
            <v>1790185.24</v>
          </cell>
          <cell r="J1099">
            <v>0</v>
          </cell>
          <cell r="K1099">
            <v>0</v>
          </cell>
          <cell r="L1099">
            <v>0</v>
          </cell>
        </row>
        <row r="1100">
          <cell r="A1100">
            <v>3</v>
          </cell>
          <cell r="B1100">
            <v>0</v>
          </cell>
          <cell r="C1100">
            <v>340</v>
          </cell>
          <cell r="D1100" t="str">
            <v xml:space="preserve">  </v>
          </cell>
          <cell r="E1100" t="str">
            <v xml:space="preserve">    </v>
          </cell>
          <cell r="F1100" t="str">
            <v xml:space="preserve">   </v>
          </cell>
          <cell r="G1100">
            <v>30340</v>
          </cell>
          <cell r="H1100">
            <v>615079.03</v>
          </cell>
          <cell r="I1100">
            <v>615079.03</v>
          </cell>
          <cell r="J1100">
            <v>0</v>
          </cell>
          <cell r="K1100">
            <v>0</v>
          </cell>
          <cell r="L1100">
            <v>0</v>
          </cell>
        </row>
        <row r="1101">
          <cell r="A1101">
            <v>4</v>
          </cell>
          <cell r="B1101">
            <v>0</v>
          </cell>
          <cell r="C1101">
            <v>340</v>
          </cell>
          <cell r="D1101" t="str">
            <v xml:space="preserve">  </v>
          </cell>
          <cell r="E1101" t="str">
            <v xml:space="preserve">    </v>
          </cell>
          <cell r="F1101" t="str">
            <v xml:space="preserve">   </v>
          </cell>
          <cell r="G1101">
            <v>40340</v>
          </cell>
          <cell r="H1101">
            <v>615078.82999999996</v>
          </cell>
          <cell r="I1101">
            <v>615078.82999999996</v>
          </cell>
          <cell r="J1101">
            <v>0</v>
          </cell>
          <cell r="K1101">
            <v>0</v>
          </cell>
          <cell r="L1101">
            <v>0</v>
          </cell>
        </row>
        <row r="1102">
          <cell r="A1102">
            <v>5</v>
          </cell>
          <cell r="B1102">
            <v>0</v>
          </cell>
          <cell r="C1102">
            <v>340</v>
          </cell>
          <cell r="D1102" t="str">
            <v xml:space="preserve">  </v>
          </cell>
          <cell r="E1102" t="str">
            <v xml:space="preserve">    </v>
          </cell>
          <cell r="F1102" t="str">
            <v xml:space="preserve">   </v>
          </cell>
          <cell r="G1102">
            <v>50340</v>
          </cell>
          <cell r="H1102">
            <v>615079.02</v>
          </cell>
          <cell r="I1102">
            <v>615079.02</v>
          </cell>
          <cell r="J1102">
            <v>0</v>
          </cell>
          <cell r="K1102">
            <v>0</v>
          </cell>
          <cell r="L1102">
            <v>0</v>
          </cell>
        </row>
        <row r="1103">
          <cell r="A1103">
            <v>3</v>
          </cell>
          <cell r="B1103">
            <v>0</v>
          </cell>
          <cell r="C1103">
            <v>341</v>
          </cell>
          <cell r="D1103" t="str">
            <v xml:space="preserve">  </v>
          </cell>
          <cell r="E1103" t="str">
            <v xml:space="preserve">    </v>
          </cell>
          <cell r="F1103" t="str">
            <v xml:space="preserve">   </v>
          </cell>
          <cell r="G1103">
            <v>30341</v>
          </cell>
          <cell r="H1103">
            <v>256733.08</v>
          </cell>
          <cell r="I1103">
            <v>256733.08</v>
          </cell>
          <cell r="J1103">
            <v>0</v>
          </cell>
          <cell r="K1103">
            <v>0</v>
          </cell>
          <cell r="L1103">
            <v>0</v>
          </cell>
        </row>
        <row r="1104">
          <cell r="A1104">
            <v>4</v>
          </cell>
          <cell r="B1104">
            <v>0</v>
          </cell>
          <cell r="C1104">
            <v>341</v>
          </cell>
          <cell r="D1104" t="str">
            <v xml:space="preserve">  </v>
          </cell>
          <cell r="E1104" t="str">
            <v xml:space="preserve">    </v>
          </cell>
          <cell r="F1104" t="str">
            <v xml:space="preserve">   </v>
          </cell>
          <cell r="G1104">
            <v>40341</v>
          </cell>
          <cell r="H1104">
            <v>256680.54</v>
          </cell>
          <cell r="I1104">
            <v>256680.54</v>
          </cell>
          <cell r="J1104">
            <v>0</v>
          </cell>
          <cell r="K1104">
            <v>0</v>
          </cell>
          <cell r="L1104">
            <v>0</v>
          </cell>
        </row>
        <row r="1105">
          <cell r="A1105">
            <v>5</v>
          </cell>
          <cell r="B1105">
            <v>0</v>
          </cell>
          <cell r="C1105">
            <v>341</v>
          </cell>
          <cell r="D1105" t="str">
            <v xml:space="preserve">  </v>
          </cell>
          <cell r="E1105" t="str">
            <v xml:space="preserve">    </v>
          </cell>
          <cell r="F1105" t="str">
            <v xml:space="preserve">   </v>
          </cell>
          <cell r="G1105">
            <v>50341</v>
          </cell>
          <cell r="H1105">
            <v>256733.08</v>
          </cell>
          <cell r="I1105">
            <v>256733.08</v>
          </cell>
          <cell r="J1105">
            <v>0</v>
          </cell>
          <cell r="K1105">
            <v>0</v>
          </cell>
          <cell r="L1105">
            <v>0</v>
          </cell>
        </row>
        <row r="1106">
          <cell r="A1106">
            <v>3</v>
          </cell>
          <cell r="B1106">
            <v>0</v>
          </cell>
          <cell r="C1106">
            <v>342</v>
          </cell>
          <cell r="D1106" t="str">
            <v xml:space="preserve">  </v>
          </cell>
          <cell r="E1106" t="str">
            <v xml:space="preserve">    </v>
          </cell>
          <cell r="F1106" t="str">
            <v xml:space="preserve">   </v>
          </cell>
          <cell r="G1106">
            <v>30342</v>
          </cell>
          <cell r="H1106">
            <v>1140527.1499999999</v>
          </cell>
          <cell r="I1106">
            <v>1140527.1499999999</v>
          </cell>
          <cell r="J1106">
            <v>0</v>
          </cell>
          <cell r="K1106">
            <v>0</v>
          </cell>
          <cell r="L1106">
            <v>0</v>
          </cell>
        </row>
        <row r="1107">
          <cell r="A1107">
            <v>4</v>
          </cell>
          <cell r="B1107">
            <v>0</v>
          </cell>
          <cell r="C1107">
            <v>342</v>
          </cell>
          <cell r="D1107" t="str">
            <v xml:space="preserve">  </v>
          </cell>
          <cell r="E1107" t="str">
            <v xml:space="preserve">    </v>
          </cell>
          <cell r="F1107" t="str">
            <v xml:space="preserve">   </v>
          </cell>
          <cell r="G1107">
            <v>40342</v>
          </cell>
          <cell r="H1107">
            <v>1140527.04</v>
          </cell>
          <cell r="I1107">
            <v>1140527.04</v>
          </cell>
          <cell r="J1107">
            <v>0</v>
          </cell>
          <cell r="K1107">
            <v>0</v>
          </cell>
          <cell r="L1107">
            <v>0</v>
          </cell>
        </row>
        <row r="1108">
          <cell r="A1108">
            <v>5</v>
          </cell>
          <cell r="B1108">
            <v>0</v>
          </cell>
          <cell r="C1108">
            <v>342</v>
          </cell>
          <cell r="D1108" t="str">
            <v xml:space="preserve">  </v>
          </cell>
          <cell r="E1108" t="str">
            <v xml:space="preserve">    </v>
          </cell>
          <cell r="F1108" t="str">
            <v xml:space="preserve">   </v>
          </cell>
          <cell r="G1108">
            <v>50342</v>
          </cell>
          <cell r="H1108">
            <v>1140527.1399999999</v>
          </cell>
          <cell r="I1108">
            <v>1140527.1399999999</v>
          </cell>
          <cell r="J1108">
            <v>0</v>
          </cell>
          <cell r="K1108">
            <v>0</v>
          </cell>
          <cell r="L1108">
            <v>0</v>
          </cell>
        </row>
        <row r="1109">
          <cell r="A1109">
            <v>3</v>
          </cell>
          <cell r="B1109">
            <v>0</v>
          </cell>
          <cell r="C1109">
            <v>343</v>
          </cell>
          <cell r="D1109" t="str">
            <v xml:space="preserve">  </v>
          </cell>
          <cell r="E1109" t="str">
            <v xml:space="preserve">    </v>
          </cell>
          <cell r="F1109" t="str">
            <v xml:space="preserve">   </v>
          </cell>
          <cell r="G1109">
            <v>30343</v>
          </cell>
          <cell r="H1109">
            <v>6506950.8899999997</v>
          </cell>
          <cell r="I1109">
            <v>6506950.8899999997</v>
          </cell>
          <cell r="J1109">
            <v>0</v>
          </cell>
          <cell r="K1109">
            <v>0</v>
          </cell>
          <cell r="L1109">
            <v>0</v>
          </cell>
        </row>
        <row r="1110">
          <cell r="A1110">
            <v>4</v>
          </cell>
          <cell r="B1110">
            <v>0</v>
          </cell>
          <cell r="C1110">
            <v>343</v>
          </cell>
          <cell r="D1110" t="str">
            <v xml:space="preserve">  </v>
          </cell>
          <cell r="E1110" t="str">
            <v xml:space="preserve">    </v>
          </cell>
          <cell r="F1110" t="str">
            <v xml:space="preserve">   </v>
          </cell>
          <cell r="G1110">
            <v>40343</v>
          </cell>
          <cell r="H1110">
            <v>6513076</v>
          </cell>
          <cell r="I1110">
            <v>6513076</v>
          </cell>
          <cell r="J1110">
            <v>0</v>
          </cell>
          <cell r="K1110">
            <v>0</v>
          </cell>
          <cell r="L1110">
            <v>0</v>
          </cell>
        </row>
        <row r="1111">
          <cell r="A1111">
            <v>5</v>
          </cell>
          <cell r="B1111">
            <v>0</v>
          </cell>
          <cell r="C1111">
            <v>343</v>
          </cell>
          <cell r="D1111" t="str">
            <v xml:space="preserve">  </v>
          </cell>
          <cell r="E1111" t="str">
            <v xml:space="preserve">    </v>
          </cell>
          <cell r="F1111" t="str">
            <v xml:space="preserve">   </v>
          </cell>
          <cell r="G1111">
            <v>50343</v>
          </cell>
          <cell r="H1111">
            <v>6511233.9500000002</v>
          </cell>
          <cell r="I1111">
            <v>6511233.9500000002</v>
          </cell>
          <cell r="J1111">
            <v>0</v>
          </cell>
          <cell r="K1111">
            <v>0</v>
          </cell>
          <cell r="L1111">
            <v>0</v>
          </cell>
        </row>
        <row r="1112">
          <cell r="A1112">
            <v>3</v>
          </cell>
          <cell r="B1112">
            <v>0</v>
          </cell>
          <cell r="C1112">
            <v>344</v>
          </cell>
          <cell r="D1112" t="str">
            <v xml:space="preserve">  </v>
          </cell>
          <cell r="E1112" t="str">
            <v xml:space="preserve">    </v>
          </cell>
          <cell r="F1112" t="str">
            <v xml:space="preserve">   </v>
          </cell>
          <cell r="G1112">
            <v>30344</v>
          </cell>
          <cell r="H1112">
            <v>3521349.49</v>
          </cell>
          <cell r="I1112">
            <v>3521349.49</v>
          </cell>
          <cell r="J1112">
            <v>0</v>
          </cell>
          <cell r="K1112">
            <v>0</v>
          </cell>
          <cell r="L1112">
            <v>0</v>
          </cell>
        </row>
        <row r="1113">
          <cell r="A1113">
            <v>4</v>
          </cell>
          <cell r="B1113">
            <v>0</v>
          </cell>
          <cell r="C1113">
            <v>344</v>
          </cell>
          <cell r="D1113" t="str">
            <v xml:space="preserve">  </v>
          </cell>
          <cell r="E1113" t="str">
            <v xml:space="preserve">    </v>
          </cell>
          <cell r="F1113" t="str">
            <v xml:space="preserve">   </v>
          </cell>
          <cell r="G1113">
            <v>40344</v>
          </cell>
          <cell r="H1113">
            <v>3607468.79</v>
          </cell>
          <cell r="I1113">
            <v>3607468.79</v>
          </cell>
          <cell r="J1113">
            <v>0</v>
          </cell>
          <cell r="K1113">
            <v>0</v>
          </cell>
          <cell r="L1113">
            <v>0</v>
          </cell>
        </row>
        <row r="1114">
          <cell r="A1114">
            <v>5</v>
          </cell>
          <cell r="B1114">
            <v>0</v>
          </cell>
          <cell r="C1114">
            <v>344</v>
          </cell>
          <cell r="D1114" t="str">
            <v xml:space="preserve">  </v>
          </cell>
          <cell r="E1114" t="str">
            <v xml:space="preserve">    </v>
          </cell>
          <cell r="F1114" t="str">
            <v xml:space="preserve">   </v>
          </cell>
          <cell r="G1114">
            <v>50344</v>
          </cell>
          <cell r="H1114">
            <v>3566857.11</v>
          </cell>
          <cell r="I1114">
            <v>3566857.11</v>
          </cell>
          <cell r="J1114">
            <v>0</v>
          </cell>
          <cell r="K1114">
            <v>0</v>
          </cell>
          <cell r="L1114">
            <v>0</v>
          </cell>
        </row>
        <row r="1115">
          <cell r="A1115">
            <v>3</v>
          </cell>
          <cell r="B1115">
            <v>0</v>
          </cell>
          <cell r="C1115">
            <v>345</v>
          </cell>
          <cell r="D1115" t="str">
            <v xml:space="preserve">  </v>
          </cell>
          <cell r="E1115" t="str">
            <v xml:space="preserve">    </v>
          </cell>
          <cell r="F1115" t="str">
            <v xml:space="preserve">   </v>
          </cell>
          <cell r="G1115">
            <v>30345</v>
          </cell>
          <cell r="H1115">
            <v>356618.51</v>
          </cell>
          <cell r="I1115">
            <v>356618.51</v>
          </cell>
          <cell r="J1115">
            <v>0</v>
          </cell>
          <cell r="K1115">
            <v>0</v>
          </cell>
          <cell r="L1115">
            <v>0</v>
          </cell>
        </row>
        <row r="1116">
          <cell r="A1116">
            <v>4</v>
          </cell>
          <cell r="B1116">
            <v>0</v>
          </cell>
          <cell r="C1116">
            <v>345</v>
          </cell>
          <cell r="D1116" t="str">
            <v xml:space="preserve">  </v>
          </cell>
          <cell r="E1116" t="str">
            <v xml:space="preserve">    </v>
          </cell>
          <cell r="F1116" t="str">
            <v xml:space="preserve">   </v>
          </cell>
          <cell r="G1116">
            <v>40345</v>
          </cell>
          <cell r="H1116">
            <v>362052.62</v>
          </cell>
          <cell r="I1116">
            <v>362052.62</v>
          </cell>
          <cell r="J1116">
            <v>0</v>
          </cell>
          <cell r="K1116">
            <v>0</v>
          </cell>
          <cell r="L1116">
            <v>0</v>
          </cell>
        </row>
        <row r="1117">
          <cell r="A1117">
            <v>5</v>
          </cell>
          <cell r="B1117">
            <v>0</v>
          </cell>
          <cell r="C1117">
            <v>345</v>
          </cell>
          <cell r="D1117" t="str">
            <v xml:space="preserve">  </v>
          </cell>
          <cell r="E1117" t="str">
            <v xml:space="preserve">    </v>
          </cell>
          <cell r="F1117" t="str">
            <v xml:space="preserve">   </v>
          </cell>
          <cell r="G1117">
            <v>50345</v>
          </cell>
          <cell r="H1117">
            <v>360366.18</v>
          </cell>
          <cell r="I1117">
            <v>360366.18</v>
          </cell>
          <cell r="J1117">
            <v>0</v>
          </cell>
          <cell r="K1117">
            <v>0</v>
          </cell>
          <cell r="L1117">
            <v>0</v>
          </cell>
        </row>
        <row r="1118">
          <cell r="A1118">
            <v>3</v>
          </cell>
          <cell r="B1118">
            <v>0</v>
          </cell>
          <cell r="C1118">
            <v>346</v>
          </cell>
          <cell r="D1118" t="str">
            <v xml:space="preserve">  </v>
          </cell>
          <cell r="E1118" t="str">
            <v xml:space="preserve">    </v>
          </cell>
          <cell r="F1118" t="str">
            <v xml:space="preserve">   </v>
          </cell>
          <cell r="G1118">
            <v>30346</v>
          </cell>
          <cell r="H1118">
            <v>241255.58</v>
          </cell>
          <cell r="I1118">
            <v>241255.58</v>
          </cell>
          <cell r="J1118">
            <v>0</v>
          </cell>
          <cell r="K1118">
            <v>0</v>
          </cell>
          <cell r="L1118">
            <v>0</v>
          </cell>
        </row>
        <row r="1119">
          <cell r="A1119">
            <v>4</v>
          </cell>
          <cell r="B1119">
            <v>0</v>
          </cell>
          <cell r="C1119">
            <v>346</v>
          </cell>
          <cell r="D1119" t="str">
            <v xml:space="preserve">  </v>
          </cell>
          <cell r="E1119" t="str">
            <v xml:space="preserve">    </v>
          </cell>
          <cell r="F1119" t="str">
            <v xml:space="preserve">   </v>
          </cell>
          <cell r="G1119">
            <v>40346</v>
          </cell>
          <cell r="H1119">
            <v>241308.05</v>
          </cell>
          <cell r="I1119">
            <v>241308.05</v>
          </cell>
          <cell r="J1119">
            <v>0</v>
          </cell>
          <cell r="K1119">
            <v>0</v>
          </cell>
          <cell r="L1119">
            <v>0</v>
          </cell>
        </row>
        <row r="1120">
          <cell r="A1120">
            <v>5</v>
          </cell>
          <cell r="B1120">
            <v>0</v>
          </cell>
          <cell r="C1120">
            <v>346</v>
          </cell>
          <cell r="D1120" t="str">
            <v xml:space="preserve">  </v>
          </cell>
          <cell r="E1120" t="str">
            <v xml:space="preserve">    </v>
          </cell>
          <cell r="F1120" t="str">
            <v xml:space="preserve">   </v>
          </cell>
          <cell r="G1120">
            <v>50346</v>
          </cell>
          <cell r="H1120">
            <v>241255.58</v>
          </cell>
          <cell r="I1120">
            <v>241255.58</v>
          </cell>
          <cell r="J1120">
            <v>0</v>
          </cell>
          <cell r="K1120">
            <v>0</v>
          </cell>
          <cell r="L1120">
            <v>0</v>
          </cell>
        </row>
        <row r="1121">
          <cell r="A1121">
            <v>3</v>
          </cell>
          <cell r="B1121">
            <v>0</v>
          </cell>
          <cell r="C1121">
            <v>350</v>
          </cell>
          <cell r="D1121" t="str">
            <v xml:space="preserve">  </v>
          </cell>
          <cell r="E1121" t="str">
            <v xml:space="preserve">    </v>
          </cell>
          <cell r="F1121" t="str">
            <v xml:space="preserve">   </v>
          </cell>
          <cell r="G1121">
            <v>30350</v>
          </cell>
          <cell r="H1121">
            <v>11876831.73</v>
          </cell>
          <cell r="I1121">
            <v>11876831.73</v>
          </cell>
          <cell r="J1121">
            <v>0</v>
          </cell>
          <cell r="K1121">
            <v>0</v>
          </cell>
          <cell r="L1121">
            <v>0</v>
          </cell>
        </row>
        <row r="1122">
          <cell r="A1122">
            <v>4</v>
          </cell>
          <cell r="B1122">
            <v>0</v>
          </cell>
          <cell r="C1122">
            <v>350</v>
          </cell>
          <cell r="D1122" t="str">
            <v xml:space="preserve">  </v>
          </cell>
          <cell r="E1122" t="str">
            <v xml:space="preserve">    </v>
          </cell>
          <cell r="F1122" t="str">
            <v xml:space="preserve">   </v>
          </cell>
          <cell r="G1122">
            <v>40350</v>
          </cell>
          <cell r="H1122">
            <v>11842920.75</v>
          </cell>
          <cell r="I1122">
            <v>11842920.75</v>
          </cell>
          <cell r="J1122">
            <v>0</v>
          </cell>
          <cell r="K1122">
            <v>0</v>
          </cell>
          <cell r="L1122">
            <v>0</v>
          </cell>
        </row>
        <row r="1123">
          <cell r="A1123">
            <v>5</v>
          </cell>
          <cell r="B1123">
            <v>0</v>
          </cell>
          <cell r="C1123">
            <v>350</v>
          </cell>
          <cell r="D1123" t="str">
            <v xml:space="preserve">  </v>
          </cell>
          <cell r="E1123" t="str">
            <v xml:space="preserve">    </v>
          </cell>
          <cell r="F1123" t="str">
            <v xml:space="preserve">   </v>
          </cell>
          <cell r="G1123">
            <v>50350</v>
          </cell>
          <cell r="H1123">
            <v>11876164.140000001</v>
          </cell>
          <cell r="I1123">
            <v>11876164.140000001</v>
          </cell>
          <cell r="J1123">
            <v>0</v>
          </cell>
          <cell r="K1123">
            <v>0</v>
          </cell>
          <cell r="L1123">
            <v>0</v>
          </cell>
        </row>
        <row r="1124">
          <cell r="A1124">
            <v>3</v>
          </cell>
          <cell r="B1124">
            <v>0</v>
          </cell>
          <cell r="C1124">
            <v>352</v>
          </cell>
          <cell r="D1124" t="str">
            <v xml:space="preserve">  </v>
          </cell>
          <cell r="E1124" t="str">
            <v xml:space="preserve">    </v>
          </cell>
          <cell r="F1124" t="str">
            <v xml:space="preserve">   </v>
          </cell>
          <cell r="G1124">
            <v>30352</v>
          </cell>
          <cell r="H1124">
            <v>7217240.2199999997</v>
          </cell>
          <cell r="I1124">
            <v>7217240.2199999997</v>
          </cell>
          <cell r="J1124">
            <v>0</v>
          </cell>
          <cell r="K1124">
            <v>0</v>
          </cell>
          <cell r="L1124">
            <v>0</v>
          </cell>
        </row>
        <row r="1125">
          <cell r="A1125">
            <v>4</v>
          </cell>
          <cell r="B1125">
            <v>0</v>
          </cell>
          <cell r="C1125">
            <v>352</v>
          </cell>
          <cell r="D1125" t="str">
            <v xml:space="preserve">  </v>
          </cell>
          <cell r="E1125" t="str">
            <v xml:space="preserve">    </v>
          </cell>
          <cell r="F1125" t="str">
            <v xml:space="preserve">   </v>
          </cell>
          <cell r="G1125">
            <v>40352</v>
          </cell>
          <cell r="H1125">
            <v>7212438.5099999998</v>
          </cell>
          <cell r="I1125">
            <v>7212438.5099999998</v>
          </cell>
          <cell r="J1125">
            <v>0</v>
          </cell>
          <cell r="K1125">
            <v>0</v>
          </cell>
          <cell r="L1125">
            <v>0</v>
          </cell>
        </row>
        <row r="1126">
          <cell r="A1126">
            <v>5</v>
          </cell>
          <cell r="B1126">
            <v>0</v>
          </cell>
          <cell r="C1126">
            <v>352</v>
          </cell>
          <cell r="D1126" t="str">
            <v xml:space="preserve">  </v>
          </cell>
          <cell r="E1126" t="str">
            <v xml:space="preserve">    </v>
          </cell>
          <cell r="F1126" t="str">
            <v xml:space="preserve">   </v>
          </cell>
          <cell r="G1126">
            <v>50352</v>
          </cell>
          <cell r="H1126">
            <v>7216699.5499999998</v>
          </cell>
          <cell r="I1126">
            <v>7216699.5499999998</v>
          </cell>
          <cell r="J1126">
            <v>0</v>
          </cell>
          <cell r="K1126">
            <v>0</v>
          </cell>
          <cell r="L1126">
            <v>0</v>
          </cell>
        </row>
        <row r="1127">
          <cell r="A1127">
            <v>3</v>
          </cell>
          <cell r="B1127">
            <v>0</v>
          </cell>
          <cell r="C1127">
            <v>353</v>
          </cell>
          <cell r="D1127" t="str">
            <v xml:space="preserve">  </v>
          </cell>
          <cell r="E1127" t="str">
            <v xml:space="preserve">    </v>
          </cell>
          <cell r="F1127" t="str">
            <v xml:space="preserve">   </v>
          </cell>
          <cell r="G1127">
            <v>30353</v>
          </cell>
          <cell r="H1127">
            <v>96029656.409999996</v>
          </cell>
          <cell r="I1127">
            <v>96029656.409999996</v>
          </cell>
          <cell r="J1127">
            <v>0</v>
          </cell>
          <cell r="K1127">
            <v>0</v>
          </cell>
          <cell r="L1127">
            <v>0</v>
          </cell>
        </row>
        <row r="1128">
          <cell r="A1128">
            <v>4</v>
          </cell>
          <cell r="B1128">
            <v>0</v>
          </cell>
          <cell r="C1128">
            <v>353</v>
          </cell>
          <cell r="D1128" t="str">
            <v xml:space="preserve">  </v>
          </cell>
          <cell r="E1128" t="str">
            <v xml:space="preserve">    </v>
          </cell>
          <cell r="F1128" t="str">
            <v xml:space="preserve">   </v>
          </cell>
          <cell r="G1128">
            <v>40353</v>
          </cell>
          <cell r="H1128">
            <v>95277784.379999995</v>
          </cell>
          <cell r="I1128">
            <v>95277784.379999995</v>
          </cell>
          <cell r="J1128">
            <v>0</v>
          </cell>
          <cell r="K1128">
            <v>0</v>
          </cell>
          <cell r="L1128">
            <v>0</v>
          </cell>
        </row>
        <row r="1129">
          <cell r="A1129">
            <v>5</v>
          </cell>
          <cell r="B1129">
            <v>0</v>
          </cell>
          <cell r="C1129">
            <v>353</v>
          </cell>
          <cell r="D1129" t="str">
            <v xml:space="preserve">  </v>
          </cell>
          <cell r="E1129" t="str">
            <v xml:space="preserve">    </v>
          </cell>
          <cell r="F1129" t="str">
            <v xml:space="preserve">   </v>
          </cell>
          <cell r="G1129">
            <v>50353</v>
          </cell>
          <cell r="H1129">
            <v>96065057.890000001</v>
          </cell>
          <cell r="I1129">
            <v>96065057.890000001</v>
          </cell>
          <cell r="J1129">
            <v>0</v>
          </cell>
          <cell r="K1129">
            <v>0</v>
          </cell>
          <cell r="L1129">
            <v>0</v>
          </cell>
        </row>
        <row r="1130">
          <cell r="A1130">
            <v>3</v>
          </cell>
          <cell r="B1130">
            <v>0</v>
          </cell>
          <cell r="C1130">
            <v>354</v>
          </cell>
          <cell r="D1130" t="str">
            <v xml:space="preserve">  </v>
          </cell>
          <cell r="E1130" t="str">
            <v xml:space="preserve">    </v>
          </cell>
          <cell r="F1130" t="str">
            <v xml:space="preserve">   </v>
          </cell>
          <cell r="G1130">
            <v>30354</v>
          </cell>
          <cell r="H1130">
            <v>17076268.390000001</v>
          </cell>
          <cell r="I1130">
            <v>17076268.390000001</v>
          </cell>
          <cell r="J1130">
            <v>0</v>
          </cell>
          <cell r="K1130">
            <v>0</v>
          </cell>
          <cell r="L1130">
            <v>0</v>
          </cell>
        </row>
        <row r="1131">
          <cell r="A1131">
            <v>4</v>
          </cell>
          <cell r="B1131">
            <v>0</v>
          </cell>
          <cell r="C1131">
            <v>354</v>
          </cell>
          <cell r="D1131" t="str">
            <v xml:space="preserve">  </v>
          </cell>
          <cell r="E1131" t="str">
            <v xml:space="preserve">    </v>
          </cell>
          <cell r="F1131" t="str">
            <v xml:space="preserve">   </v>
          </cell>
          <cell r="G1131">
            <v>40354</v>
          </cell>
          <cell r="H1131">
            <v>17074063.920000002</v>
          </cell>
          <cell r="I1131">
            <v>17074063.920000002</v>
          </cell>
          <cell r="J1131">
            <v>0</v>
          </cell>
          <cell r="K1131">
            <v>0</v>
          </cell>
          <cell r="L1131">
            <v>0</v>
          </cell>
        </row>
        <row r="1132">
          <cell r="A1132">
            <v>5</v>
          </cell>
          <cell r="B1132">
            <v>0</v>
          </cell>
          <cell r="C1132">
            <v>354</v>
          </cell>
          <cell r="D1132" t="str">
            <v xml:space="preserve">  </v>
          </cell>
          <cell r="E1132" t="str">
            <v xml:space="preserve">    </v>
          </cell>
          <cell r="F1132" t="str">
            <v xml:space="preserve">   </v>
          </cell>
          <cell r="G1132">
            <v>50354</v>
          </cell>
          <cell r="H1132">
            <v>17075470.82</v>
          </cell>
          <cell r="I1132">
            <v>17075470.82</v>
          </cell>
          <cell r="J1132">
            <v>0</v>
          </cell>
          <cell r="K1132">
            <v>0</v>
          </cell>
          <cell r="L1132">
            <v>0</v>
          </cell>
        </row>
        <row r="1133">
          <cell r="A1133">
            <v>3</v>
          </cell>
          <cell r="B1133">
            <v>0</v>
          </cell>
          <cell r="C1133">
            <v>355</v>
          </cell>
          <cell r="D1133" t="str">
            <v xml:space="preserve">  </v>
          </cell>
          <cell r="E1133" t="str">
            <v xml:space="preserve">    </v>
          </cell>
          <cell r="F1133" t="str">
            <v xml:space="preserve">   </v>
          </cell>
          <cell r="G1133">
            <v>30355</v>
          </cell>
          <cell r="H1133">
            <v>68189920.400000006</v>
          </cell>
          <cell r="I1133">
            <v>68189920.400000006</v>
          </cell>
          <cell r="J1133">
            <v>0</v>
          </cell>
          <cell r="K1133">
            <v>0</v>
          </cell>
          <cell r="L1133">
            <v>0</v>
          </cell>
        </row>
        <row r="1134">
          <cell r="A1134">
            <v>4</v>
          </cell>
          <cell r="B1134">
            <v>0</v>
          </cell>
          <cell r="C1134">
            <v>355</v>
          </cell>
          <cell r="D1134" t="str">
            <v xml:space="preserve">  </v>
          </cell>
          <cell r="E1134" t="str">
            <v xml:space="preserve">    </v>
          </cell>
          <cell r="F1134" t="str">
            <v xml:space="preserve">   </v>
          </cell>
          <cell r="G1134">
            <v>40355</v>
          </cell>
          <cell r="H1134">
            <v>67434386.019999996</v>
          </cell>
          <cell r="I1134">
            <v>67434386.019999996</v>
          </cell>
          <cell r="J1134">
            <v>0</v>
          </cell>
          <cell r="K1134">
            <v>0</v>
          </cell>
          <cell r="L1134">
            <v>0</v>
          </cell>
        </row>
        <row r="1135">
          <cell r="A1135">
            <v>5</v>
          </cell>
          <cell r="B1135">
            <v>0</v>
          </cell>
          <cell r="C1135">
            <v>355</v>
          </cell>
          <cell r="D1135" t="str">
            <v xml:space="preserve">  </v>
          </cell>
          <cell r="E1135" t="str">
            <v xml:space="preserve">    </v>
          </cell>
          <cell r="F1135" t="str">
            <v xml:space="preserve">   </v>
          </cell>
          <cell r="G1135">
            <v>50355</v>
          </cell>
          <cell r="H1135">
            <v>68154128.760000005</v>
          </cell>
          <cell r="I1135">
            <v>68154128.760000005</v>
          </cell>
          <cell r="J1135">
            <v>0</v>
          </cell>
          <cell r="K1135">
            <v>0</v>
          </cell>
          <cell r="L1135">
            <v>0</v>
          </cell>
        </row>
        <row r="1136">
          <cell r="A1136">
            <v>3</v>
          </cell>
          <cell r="B1136">
            <v>0</v>
          </cell>
          <cell r="C1136">
            <v>356</v>
          </cell>
          <cell r="D1136" t="str">
            <v xml:space="preserve">  </v>
          </cell>
          <cell r="E1136" t="str">
            <v xml:space="preserve">    </v>
          </cell>
          <cell r="F1136" t="str">
            <v xml:space="preserve">   </v>
          </cell>
          <cell r="G1136">
            <v>30356</v>
          </cell>
          <cell r="H1136">
            <v>61265999.039999999</v>
          </cell>
          <cell r="I1136">
            <v>61265999.039999999</v>
          </cell>
          <cell r="J1136">
            <v>0</v>
          </cell>
          <cell r="K1136">
            <v>0</v>
          </cell>
          <cell r="L1136">
            <v>0</v>
          </cell>
        </row>
        <row r="1137">
          <cell r="A1137">
            <v>4</v>
          </cell>
          <cell r="B1137">
            <v>0</v>
          </cell>
          <cell r="C1137">
            <v>356</v>
          </cell>
          <cell r="D1137" t="str">
            <v xml:space="preserve">  </v>
          </cell>
          <cell r="E1137" t="str">
            <v xml:space="preserve">    </v>
          </cell>
          <cell r="F1137" t="str">
            <v xml:space="preserve">   </v>
          </cell>
          <cell r="G1137">
            <v>40356</v>
          </cell>
          <cell r="H1137">
            <v>61100411.710000001</v>
          </cell>
          <cell r="I1137">
            <v>61100411.710000001</v>
          </cell>
          <cell r="J1137">
            <v>0</v>
          </cell>
          <cell r="K1137">
            <v>0</v>
          </cell>
          <cell r="L1137">
            <v>0</v>
          </cell>
        </row>
        <row r="1138">
          <cell r="A1138">
            <v>5</v>
          </cell>
          <cell r="B1138">
            <v>0</v>
          </cell>
          <cell r="C1138">
            <v>356</v>
          </cell>
          <cell r="D1138" t="str">
            <v xml:space="preserve">  </v>
          </cell>
          <cell r="E1138" t="str">
            <v xml:space="preserve">    </v>
          </cell>
          <cell r="F1138" t="str">
            <v xml:space="preserve">   </v>
          </cell>
          <cell r="G1138">
            <v>50356</v>
          </cell>
          <cell r="H1138">
            <v>61238903.619999997</v>
          </cell>
          <cell r="I1138">
            <v>61238903.619999997</v>
          </cell>
          <cell r="J1138">
            <v>0</v>
          </cell>
          <cell r="K1138">
            <v>0</v>
          </cell>
          <cell r="L1138">
            <v>0</v>
          </cell>
        </row>
        <row r="1139">
          <cell r="A1139">
            <v>3</v>
          </cell>
          <cell r="B1139">
            <v>0</v>
          </cell>
          <cell r="C1139">
            <v>357</v>
          </cell>
          <cell r="D1139" t="str">
            <v xml:space="preserve">  </v>
          </cell>
          <cell r="E1139" t="str">
            <v xml:space="preserve">    </v>
          </cell>
          <cell r="F1139" t="str">
            <v xml:space="preserve">   </v>
          </cell>
          <cell r="G1139">
            <v>30357</v>
          </cell>
          <cell r="H1139">
            <v>556054.38</v>
          </cell>
          <cell r="I1139">
            <v>556054.38</v>
          </cell>
          <cell r="J1139">
            <v>0</v>
          </cell>
          <cell r="K1139">
            <v>0</v>
          </cell>
          <cell r="L1139">
            <v>0</v>
          </cell>
        </row>
        <row r="1140">
          <cell r="A1140">
            <v>4</v>
          </cell>
          <cell r="B1140">
            <v>0</v>
          </cell>
          <cell r="C1140">
            <v>357</v>
          </cell>
          <cell r="D1140" t="str">
            <v xml:space="preserve">  </v>
          </cell>
          <cell r="E1140" t="str">
            <v xml:space="preserve">    </v>
          </cell>
          <cell r="F1140" t="str">
            <v xml:space="preserve">   </v>
          </cell>
          <cell r="G1140">
            <v>40357</v>
          </cell>
          <cell r="H1140">
            <v>556857.44999999995</v>
          </cell>
          <cell r="I1140">
            <v>556857.44999999995</v>
          </cell>
          <cell r="J1140">
            <v>0</v>
          </cell>
          <cell r="K1140">
            <v>0</v>
          </cell>
          <cell r="L1140">
            <v>0</v>
          </cell>
        </row>
        <row r="1141">
          <cell r="A1141">
            <v>5</v>
          </cell>
          <cell r="B1141">
            <v>0</v>
          </cell>
          <cell r="C1141">
            <v>357</v>
          </cell>
          <cell r="D1141" t="str">
            <v xml:space="preserve">  </v>
          </cell>
          <cell r="E1141" t="str">
            <v xml:space="preserve">    </v>
          </cell>
          <cell r="F1141" t="str">
            <v xml:space="preserve">   </v>
          </cell>
          <cell r="G1141">
            <v>50357</v>
          </cell>
          <cell r="H1141">
            <v>556054.37</v>
          </cell>
          <cell r="I1141">
            <v>556054.37</v>
          </cell>
          <cell r="J1141">
            <v>0</v>
          </cell>
          <cell r="K1141">
            <v>0</v>
          </cell>
          <cell r="L1141">
            <v>0</v>
          </cell>
        </row>
        <row r="1142">
          <cell r="A1142">
            <v>3</v>
          </cell>
          <cell r="B1142">
            <v>0</v>
          </cell>
          <cell r="C1142">
            <v>358</v>
          </cell>
          <cell r="D1142" t="str">
            <v xml:space="preserve">  </v>
          </cell>
          <cell r="E1142" t="str">
            <v xml:space="preserve">    </v>
          </cell>
          <cell r="F1142" t="str">
            <v xml:space="preserve">   </v>
          </cell>
          <cell r="G1142">
            <v>30358</v>
          </cell>
          <cell r="H1142">
            <v>1316979.3500000001</v>
          </cell>
          <cell r="I1142">
            <v>1316979.3500000001</v>
          </cell>
          <cell r="J1142">
            <v>0</v>
          </cell>
          <cell r="K1142">
            <v>0</v>
          </cell>
          <cell r="L1142">
            <v>0</v>
          </cell>
        </row>
        <row r="1143">
          <cell r="A1143">
            <v>4</v>
          </cell>
          <cell r="B1143">
            <v>0</v>
          </cell>
          <cell r="C1143">
            <v>358</v>
          </cell>
          <cell r="D1143" t="str">
            <v xml:space="preserve">  </v>
          </cell>
          <cell r="E1143" t="str">
            <v xml:space="preserve">    </v>
          </cell>
          <cell r="F1143" t="str">
            <v xml:space="preserve">   </v>
          </cell>
          <cell r="G1143">
            <v>40358</v>
          </cell>
          <cell r="H1143">
            <v>1316176.6399999999</v>
          </cell>
          <cell r="I1143">
            <v>1316176.6399999999</v>
          </cell>
          <cell r="J1143">
            <v>0</v>
          </cell>
          <cell r="K1143">
            <v>0</v>
          </cell>
          <cell r="L1143">
            <v>0</v>
          </cell>
        </row>
        <row r="1144">
          <cell r="A1144">
            <v>5</v>
          </cell>
          <cell r="B1144">
            <v>0</v>
          </cell>
          <cell r="C1144">
            <v>358</v>
          </cell>
          <cell r="D1144" t="str">
            <v xml:space="preserve">  </v>
          </cell>
          <cell r="E1144" t="str">
            <v xml:space="preserve">    </v>
          </cell>
          <cell r="F1144" t="str">
            <v xml:space="preserve">   </v>
          </cell>
          <cell r="G1144">
            <v>50358</v>
          </cell>
          <cell r="H1144">
            <v>1316974.5900000001</v>
          </cell>
          <cell r="I1144">
            <v>1316974.5900000001</v>
          </cell>
          <cell r="J1144">
            <v>0</v>
          </cell>
          <cell r="K1144">
            <v>0</v>
          </cell>
          <cell r="L1144">
            <v>0</v>
          </cell>
        </row>
        <row r="1145">
          <cell r="A1145">
            <v>3</v>
          </cell>
          <cell r="B1145">
            <v>0</v>
          </cell>
          <cell r="C1145">
            <v>359</v>
          </cell>
          <cell r="D1145" t="str">
            <v xml:space="preserve">  </v>
          </cell>
          <cell r="E1145" t="str">
            <v xml:space="preserve">    </v>
          </cell>
          <cell r="F1145" t="str">
            <v xml:space="preserve">   </v>
          </cell>
          <cell r="G1145">
            <v>30359</v>
          </cell>
          <cell r="H1145">
            <v>1814400.46</v>
          </cell>
          <cell r="I1145">
            <v>1814400.46</v>
          </cell>
          <cell r="J1145">
            <v>0</v>
          </cell>
          <cell r="K1145">
            <v>0</v>
          </cell>
          <cell r="L1145">
            <v>0</v>
          </cell>
        </row>
        <row r="1146">
          <cell r="A1146">
            <v>4</v>
          </cell>
          <cell r="B1146">
            <v>0</v>
          </cell>
          <cell r="C1146">
            <v>359</v>
          </cell>
          <cell r="D1146" t="str">
            <v xml:space="preserve">  </v>
          </cell>
          <cell r="E1146" t="str">
            <v xml:space="preserve">    </v>
          </cell>
          <cell r="F1146" t="str">
            <v xml:space="preserve">   </v>
          </cell>
          <cell r="G1146">
            <v>40359</v>
          </cell>
          <cell r="H1146">
            <v>1811991.62</v>
          </cell>
          <cell r="I1146">
            <v>1811991.62</v>
          </cell>
          <cell r="J1146">
            <v>0</v>
          </cell>
          <cell r="K1146">
            <v>0</v>
          </cell>
          <cell r="L1146">
            <v>0</v>
          </cell>
        </row>
        <row r="1147">
          <cell r="A1147">
            <v>5</v>
          </cell>
          <cell r="B1147">
            <v>0</v>
          </cell>
          <cell r="C1147">
            <v>359</v>
          </cell>
          <cell r="D1147" t="str">
            <v xml:space="preserve">  </v>
          </cell>
          <cell r="E1147" t="str">
            <v xml:space="preserve">    </v>
          </cell>
          <cell r="F1147" t="str">
            <v xml:space="preserve">   </v>
          </cell>
          <cell r="G1147">
            <v>50359</v>
          </cell>
          <cell r="H1147">
            <v>1813603.32</v>
          </cell>
          <cell r="I1147">
            <v>1813603.32</v>
          </cell>
          <cell r="J1147">
            <v>0</v>
          </cell>
          <cell r="K1147">
            <v>0</v>
          </cell>
          <cell r="L1147">
            <v>0</v>
          </cell>
        </row>
        <row r="1148">
          <cell r="A1148">
            <v>3</v>
          </cell>
          <cell r="B1148">
            <v>0</v>
          </cell>
          <cell r="C1148">
            <v>360</v>
          </cell>
          <cell r="D1148" t="str">
            <v xml:space="preserve">  </v>
          </cell>
          <cell r="E1148" t="str">
            <v xml:space="preserve">    </v>
          </cell>
          <cell r="F1148" t="str">
            <v xml:space="preserve">   </v>
          </cell>
          <cell r="G1148">
            <v>30360</v>
          </cell>
          <cell r="H1148">
            <v>3891036.47</v>
          </cell>
          <cell r="I1148">
            <v>0</v>
          </cell>
          <cell r="J1148">
            <v>2996195.5</v>
          </cell>
          <cell r="K1148">
            <v>894840.97</v>
          </cell>
          <cell r="L1148">
            <v>0</v>
          </cell>
        </row>
        <row r="1149">
          <cell r="A1149">
            <v>4</v>
          </cell>
          <cell r="B1149">
            <v>0</v>
          </cell>
          <cell r="C1149">
            <v>360</v>
          </cell>
          <cell r="D1149" t="str">
            <v xml:space="preserve">  </v>
          </cell>
          <cell r="E1149" t="str">
            <v xml:space="preserve">    </v>
          </cell>
          <cell r="F1149" t="str">
            <v xml:space="preserve">   </v>
          </cell>
          <cell r="G1149">
            <v>40360</v>
          </cell>
          <cell r="H1149">
            <v>3874611.9</v>
          </cell>
          <cell r="I1149">
            <v>0</v>
          </cell>
          <cell r="J1149">
            <v>2996609.32</v>
          </cell>
          <cell r="K1149">
            <v>878002.58</v>
          </cell>
          <cell r="L1149">
            <v>0</v>
          </cell>
        </row>
        <row r="1150">
          <cell r="A1150">
            <v>5</v>
          </cell>
          <cell r="B1150">
            <v>0</v>
          </cell>
          <cell r="C1150">
            <v>360</v>
          </cell>
          <cell r="D1150" t="str">
            <v xml:space="preserve">  </v>
          </cell>
          <cell r="E1150" t="str">
            <v xml:space="preserve">    </v>
          </cell>
          <cell r="F1150" t="str">
            <v xml:space="preserve">   </v>
          </cell>
          <cell r="G1150">
            <v>50360</v>
          </cell>
          <cell r="H1150">
            <v>3891035.92</v>
          </cell>
          <cell r="I1150">
            <v>0</v>
          </cell>
          <cell r="J1150">
            <v>2996195.5</v>
          </cell>
          <cell r="K1150">
            <v>894840.42</v>
          </cell>
          <cell r="L1150">
            <v>0</v>
          </cell>
        </row>
        <row r="1151">
          <cell r="A1151">
            <v>3</v>
          </cell>
          <cell r="B1151">
            <v>0</v>
          </cell>
          <cell r="C1151">
            <v>361</v>
          </cell>
          <cell r="D1151" t="str">
            <v xml:space="preserve">  </v>
          </cell>
          <cell r="E1151" t="str">
            <v xml:space="preserve">    </v>
          </cell>
          <cell r="F1151" t="str">
            <v xml:space="preserve">   </v>
          </cell>
          <cell r="G1151">
            <v>30361</v>
          </cell>
          <cell r="H1151">
            <v>7435387.9299999997</v>
          </cell>
          <cell r="I1151">
            <v>0</v>
          </cell>
          <cell r="J1151">
            <v>5161656.3099999996</v>
          </cell>
          <cell r="K1151">
            <v>2273731.62</v>
          </cell>
          <cell r="L1151">
            <v>0</v>
          </cell>
        </row>
        <row r="1152">
          <cell r="A1152">
            <v>4</v>
          </cell>
          <cell r="B1152">
            <v>0</v>
          </cell>
          <cell r="C1152">
            <v>361</v>
          </cell>
          <cell r="D1152" t="str">
            <v xml:space="preserve">  </v>
          </cell>
          <cell r="E1152" t="str">
            <v xml:space="preserve">    </v>
          </cell>
          <cell r="F1152" t="str">
            <v xml:space="preserve">   </v>
          </cell>
          <cell r="G1152">
            <v>40361</v>
          </cell>
          <cell r="H1152">
            <v>7430578.9299999997</v>
          </cell>
          <cell r="I1152">
            <v>0</v>
          </cell>
          <cell r="J1152">
            <v>5157159.55</v>
          </cell>
          <cell r="K1152">
            <v>2273419.38</v>
          </cell>
          <cell r="L1152">
            <v>0</v>
          </cell>
        </row>
        <row r="1153">
          <cell r="A1153">
            <v>5</v>
          </cell>
          <cell r="B1153">
            <v>0</v>
          </cell>
          <cell r="C1153">
            <v>361</v>
          </cell>
          <cell r="D1153" t="str">
            <v xml:space="preserve">  </v>
          </cell>
          <cell r="E1153" t="str">
            <v xml:space="preserve">    </v>
          </cell>
          <cell r="F1153" t="str">
            <v xml:space="preserve">   </v>
          </cell>
          <cell r="G1153">
            <v>50361</v>
          </cell>
          <cell r="H1153">
            <v>7454876.5300000003</v>
          </cell>
          <cell r="I1153">
            <v>0</v>
          </cell>
          <cell r="J1153">
            <v>5171375.1100000003</v>
          </cell>
          <cell r="K1153">
            <v>2283501.42</v>
          </cell>
          <cell r="L1153">
            <v>0</v>
          </cell>
        </row>
        <row r="1154">
          <cell r="A1154">
            <v>3</v>
          </cell>
          <cell r="B1154">
            <v>0</v>
          </cell>
          <cell r="C1154">
            <v>362</v>
          </cell>
          <cell r="D1154" t="str">
            <v xml:space="preserve">  </v>
          </cell>
          <cell r="E1154" t="str">
            <v xml:space="preserve">    </v>
          </cell>
          <cell r="F1154" t="str">
            <v xml:space="preserve">   </v>
          </cell>
          <cell r="G1154">
            <v>30362</v>
          </cell>
          <cell r="H1154">
            <v>55709200.200000003</v>
          </cell>
          <cell r="I1154">
            <v>0</v>
          </cell>
          <cell r="J1154">
            <v>35262846.020000003</v>
          </cell>
          <cell r="K1154">
            <v>20446354.18</v>
          </cell>
          <cell r="L1154">
            <v>0</v>
          </cell>
        </row>
        <row r="1155">
          <cell r="A1155">
            <v>4</v>
          </cell>
          <cell r="B1155">
            <v>0</v>
          </cell>
          <cell r="C1155">
            <v>362</v>
          </cell>
          <cell r="D1155" t="str">
            <v xml:space="preserve">  </v>
          </cell>
          <cell r="E1155" t="str">
            <v xml:space="preserve">    </v>
          </cell>
          <cell r="F1155" t="str">
            <v xml:space="preserve">   </v>
          </cell>
          <cell r="G1155">
            <v>40362</v>
          </cell>
          <cell r="H1155">
            <v>55138659.200000003</v>
          </cell>
          <cell r="I1155">
            <v>0</v>
          </cell>
          <cell r="J1155">
            <v>35159640.979999997</v>
          </cell>
          <cell r="K1155">
            <v>19979018.219999999</v>
          </cell>
          <cell r="L1155">
            <v>0</v>
          </cell>
        </row>
        <row r="1156">
          <cell r="A1156">
            <v>5</v>
          </cell>
          <cell r="B1156">
            <v>0</v>
          </cell>
          <cell r="C1156">
            <v>362</v>
          </cell>
          <cell r="D1156" t="str">
            <v xml:space="preserve">  </v>
          </cell>
          <cell r="E1156" t="str">
            <v xml:space="preserve">    </v>
          </cell>
          <cell r="F1156" t="str">
            <v xml:space="preserve">   </v>
          </cell>
          <cell r="G1156">
            <v>50362</v>
          </cell>
          <cell r="H1156">
            <v>56264626.119999997</v>
          </cell>
          <cell r="I1156">
            <v>0</v>
          </cell>
          <cell r="J1156">
            <v>35820731.25</v>
          </cell>
          <cell r="K1156">
            <v>20443894.870000001</v>
          </cell>
          <cell r="L1156">
            <v>0</v>
          </cell>
        </row>
        <row r="1157">
          <cell r="A1157">
            <v>3</v>
          </cell>
          <cell r="B1157">
            <v>0</v>
          </cell>
          <cell r="C1157">
            <v>364</v>
          </cell>
          <cell r="D1157" t="str">
            <v xml:space="preserve">  </v>
          </cell>
          <cell r="E1157" t="str">
            <v xml:space="preserve">    </v>
          </cell>
          <cell r="F1157" t="str">
            <v xml:space="preserve">   </v>
          </cell>
          <cell r="G1157">
            <v>30364</v>
          </cell>
          <cell r="H1157">
            <v>124218557.84999999</v>
          </cell>
          <cell r="I1157">
            <v>185439.88</v>
          </cell>
          <cell r="J1157">
            <v>75673263.540000007</v>
          </cell>
          <cell r="K1157">
            <v>48359854.43</v>
          </cell>
          <cell r="L1157">
            <v>0</v>
          </cell>
        </row>
        <row r="1158">
          <cell r="A1158">
            <v>4</v>
          </cell>
          <cell r="B1158">
            <v>0</v>
          </cell>
          <cell r="C1158">
            <v>364</v>
          </cell>
          <cell r="D1158" t="str">
            <v xml:space="preserve">  </v>
          </cell>
          <cell r="E1158" t="str">
            <v xml:space="preserve">    </v>
          </cell>
          <cell r="F1158" t="str">
            <v xml:space="preserve">   </v>
          </cell>
          <cell r="G1158">
            <v>40364</v>
          </cell>
          <cell r="H1158">
            <v>120726563.59999999</v>
          </cell>
          <cell r="I1158">
            <v>7857.73</v>
          </cell>
          <cell r="J1158">
            <v>73690917.930000007</v>
          </cell>
          <cell r="K1158">
            <v>47027787.969999999</v>
          </cell>
          <cell r="L1158">
            <v>0</v>
          </cell>
        </row>
        <row r="1159">
          <cell r="A1159">
            <v>5</v>
          </cell>
          <cell r="B1159">
            <v>0</v>
          </cell>
          <cell r="C1159">
            <v>364</v>
          </cell>
          <cell r="D1159" t="str">
            <v xml:space="preserve">  </v>
          </cell>
          <cell r="E1159" t="str">
            <v xml:space="preserve">    </v>
          </cell>
          <cell r="F1159" t="str">
            <v xml:space="preserve">   </v>
          </cell>
          <cell r="G1159">
            <v>50364</v>
          </cell>
          <cell r="H1159">
            <v>123743025.33</v>
          </cell>
          <cell r="I1159">
            <v>93506.38</v>
          </cell>
          <cell r="J1159">
            <v>75461876.599999994</v>
          </cell>
          <cell r="K1159">
            <v>48187642.380000003</v>
          </cell>
          <cell r="L1159">
            <v>0</v>
          </cell>
        </row>
        <row r="1160">
          <cell r="A1160">
            <v>3</v>
          </cell>
          <cell r="B1160">
            <v>0</v>
          </cell>
          <cell r="C1160">
            <v>365</v>
          </cell>
          <cell r="D1160" t="str">
            <v xml:space="preserve">  </v>
          </cell>
          <cell r="E1160" t="str">
            <v xml:space="preserve">    </v>
          </cell>
          <cell r="F1160" t="str">
            <v xml:space="preserve">   </v>
          </cell>
          <cell r="G1160">
            <v>30365</v>
          </cell>
          <cell r="H1160">
            <v>85402079.920000002</v>
          </cell>
          <cell r="I1160">
            <v>0</v>
          </cell>
          <cell r="J1160">
            <v>50894928.969999999</v>
          </cell>
          <cell r="K1160">
            <v>34507150.950000003</v>
          </cell>
          <cell r="L1160">
            <v>0</v>
          </cell>
        </row>
        <row r="1161">
          <cell r="A1161">
            <v>4</v>
          </cell>
          <cell r="B1161">
            <v>0</v>
          </cell>
          <cell r="C1161">
            <v>365</v>
          </cell>
          <cell r="D1161" t="str">
            <v xml:space="preserve">  </v>
          </cell>
          <cell r="E1161" t="str">
            <v xml:space="preserve">    </v>
          </cell>
          <cell r="F1161" t="str">
            <v xml:space="preserve">   </v>
          </cell>
          <cell r="G1161">
            <v>40365</v>
          </cell>
          <cell r="H1161">
            <v>83492108.079999998</v>
          </cell>
          <cell r="I1161">
            <v>0</v>
          </cell>
          <cell r="J1161">
            <v>49724949.57</v>
          </cell>
          <cell r="K1161">
            <v>33767158.539999999</v>
          </cell>
          <cell r="L1161">
            <v>0</v>
          </cell>
        </row>
        <row r="1162">
          <cell r="A1162">
            <v>5</v>
          </cell>
          <cell r="B1162">
            <v>0</v>
          </cell>
          <cell r="C1162">
            <v>365</v>
          </cell>
          <cell r="D1162" t="str">
            <v xml:space="preserve">  </v>
          </cell>
          <cell r="E1162" t="str">
            <v xml:space="preserve">    </v>
          </cell>
          <cell r="F1162" t="str">
            <v xml:space="preserve">   </v>
          </cell>
          <cell r="G1162">
            <v>50365</v>
          </cell>
          <cell r="H1162">
            <v>85182020.879999995</v>
          </cell>
          <cell r="I1162">
            <v>0</v>
          </cell>
          <cell r="J1162">
            <v>50756669.200000003</v>
          </cell>
          <cell r="K1162">
            <v>34425351.689999998</v>
          </cell>
          <cell r="L1162">
            <v>0</v>
          </cell>
        </row>
        <row r="1163">
          <cell r="A1163">
            <v>3</v>
          </cell>
          <cell r="B1163">
            <v>0</v>
          </cell>
          <cell r="C1163">
            <v>366</v>
          </cell>
          <cell r="D1163" t="str">
            <v xml:space="preserve">  </v>
          </cell>
          <cell r="E1163" t="str">
            <v xml:space="preserve">    </v>
          </cell>
          <cell r="F1163" t="str">
            <v xml:space="preserve">   </v>
          </cell>
          <cell r="G1163">
            <v>30366</v>
          </cell>
          <cell r="H1163">
            <v>35366113.920000002</v>
          </cell>
          <cell r="I1163">
            <v>0</v>
          </cell>
          <cell r="J1163">
            <v>20910987.719999999</v>
          </cell>
          <cell r="K1163">
            <v>14455126.199999999</v>
          </cell>
          <cell r="L1163">
            <v>0</v>
          </cell>
        </row>
        <row r="1164">
          <cell r="A1164">
            <v>4</v>
          </cell>
          <cell r="B1164">
            <v>0</v>
          </cell>
          <cell r="C1164">
            <v>366</v>
          </cell>
          <cell r="D1164" t="str">
            <v xml:space="preserve">  </v>
          </cell>
          <cell r="E1164" t="str">
            <v xml:space="preserve">    </v>
          </cell>
          <cell r="F1164" t="str">
            <v xml:space="preserve">   </v>
          </cell>
          <cell r="G1164">
            <v>40366</v>
          </cell>
          <cell r="H1164">
            <v>33605144.060000002</v>
          </cell>
          <cell r="I1164">
            <v>0</v>
          </cell>
          <cell r="J1164">
            <v>20005152.190000001</v>
          </cell>
          <cell r="K1164">
            <v>13599991.869999999</v>
          </cell>
          <cell r="L1164">
            <v>0</v>
          </cell>
        </row>
        <row r="1165">
          <cell r="A1165">
            <v>5</v>
          </cell>
          <cell r="B1165">
            <v>0</v>
          </cell>
          <cell r="C1165">
            <v>366</v>
          </cell>
          <cell r="D1165" t="str">
            <v xml:space="preserve">  </v>
          </cell>
          <cell r="E1165" t="str">
            <v xml:space="preserve">    </v>
          </cell>
          <cell r="F1165" t="str">
            <v xml:space="preserve">   </v>
          </cell>
          <cell r="G1165">
            <v>50366</v>
          </cell>
          <cell r="H1165">
            <v>35155274.079999998</v>
          </cell>
          <cell r="I1165">
            <v>0</v>
          </cell>
          <cell r="J1165">
            <v>20838151.739999998</v>
          </cell>
          <cell r="K1165">
            <v>14317122.34</v>
          </cell>
          <cell r="L1165">
            <v>0</v>
          </cell>
        </row>
        <row r="1166">
          <cell r="A1166">
            <v>3</v>
          </cell>
          <cell r="B1166">
            <v>0</v>
          </cell>
          <cell r="C1166">
            <v>367</v>
          </cell>
          <cell r="D1166" t="str">
            <v xml:space="preserve">  </v>
          </cell>
          <cell r="E1166" t="str">
            <v xml:space="preserve">    </v>
          </cell>
          <cell r="F1166" t="str">
            <v xml:space="preserve">   </v>
          </cell>
          <cell r="G1166">
            <v>30367</v>
          </cell>
          <cell r="H1166">
            <v>66616588.149999999</v>
          </cell>
          <cell r="I1166">
            <v>0</v>
          </cell>
          <cell r="J1166">
            <v>43320395.560000002</v>
          </cell>
          <cell r="K1166">
            <v>23296192.59</v>
          </cell>
          <cell r="L1166">
            <v>0</v>
          </cell>
        </row>
        <row r="1167">
          <cell r="A1167">
            <v>4</v>
          </cell>
          <cell r="B1167">
            <v>0</v>
          </cell>
          <cell r="C1167">
            <v>367</v>
          </cell>
          <cell r="D1167" t="str">
            <v xml:space="preserve">  </v>
          </cell>
          <cell r="E1167" t="str">
            <v xml:space="preserve">    </v>
          </cell>
          <cell r="F1167" t="str">
            <v xml:space="preserve">   </v>
          </cell>
          <cell r="G1167">
            <v>40367</v>
          </cell>
          <cell r="H1167">
            <v>65282442.299999997</v>
          </cell>
          <cell r="I1167">
            <v>0</v>
          </cell>
          <cell r="J1167">
            <v>42656521.030000001</v>
          </cell>
          <cell r="K1167">
            <v>22625921.289999999</v>
          </cell>
          <cell r="L1167">
            <v>0</v>
          </cell>
        </row>
        <row r="1168">
          <cell r="A1168">
            <v>5</v>
          </cell>
          <cell r="B1168">
            <v>0</v>
          </cell>
          <cell r="C1168">
            <v>367</v>
          </cell>
          <cell r="D1168" t="str">
            <v xml:space="preserve">  </v>
          </cell>
          <cell r="E1168" t="str">
            <v xml:space="preserve">    </v>
          </cell>
          <cell r="F1168" t="str">
            <v xml:space="preserve">   </v>
          </cell>
          <cell r="G1168">
            <v>50367</v>
          </cell>
          <cell r="H1168">
            <v>66441477.93</v>
          </cell>
          <cell r="I1168">
            <v>0</v>
          </cell>
          <cell r="J1168">
            <v>43250901.289999999</v>
          </cell>
          <cell r="K1168">
            <v>23190576.649999999</v>
          </cell>
          <cell r="L1168">
            <v>0</v>
          </cell>
        </row>
        <row r="1169">
          <cell r="A1169">
            <v>3</v>
          </cell>
          <cell r="B1169">
            <v>0</v>
          </cell>
          <cell r="C1169">
            <v>368</v>
          </cell>
          <cell r="D1169" t="str">
            <v xml:space="preserve">  </v>
          </cell>
          <cell r="E1169" t="str">
            <v xml:space="preserve">    </v>
          </cell>
          <cell r="F1169" t="str">
            <v xml:space="preserve">   </v>
          </cell>
          <cell r="G1169">
            <v>30368</v>
          </cell>
          <cell r="H1169">
            <v>108104955.03</v>
          </cell>
          <cell r="I1169">
            <v>0</v>
          </cell>
          <cell r="J1169">
            <v>68070716.640000001</v>
          </cell>
          <cell r="K1169">
            <v>40034238.390000001</v>
          </cell>
          <cell r="L1169">
            <v>0</v>
          </cell>
        </row>
        <row r="1170">
          <cell r="A1170">
            <v>4</v>
          </cell>
          <cell r="B1170">
            <v>0</v>
          </cell>
          <cell r="C1170">
            <v>368</v>
          </cell>
          <cell r="D1170" t="str">
            <v xml:space="preserve">  </v>
          </cell>
          <cell r="E1170" t="str">
            <v xml:space="preserve">    </v>
          </cell>
          <cell r="F1170" t="str">
            <v xml:space="preserve">   </v>
          </cell>
          <cell r="G1170">
            <v>40368</v>
          </cell>
          <cell r="H1170">
            <v>106605196.59999999</v>
          </cell>
          <cell r="I1170">
            <v>0</v>
          </cell>
          <cell r="J1170">
            <v>67246507.900000006</v>
          </cell>
          <cell r="K1170">
            <v>39358688.729999997</v>
          </cell>
          <cell r="L1170">
            <v>0</v>
          </cell>
        </row>
        <row r="1171">
          <cell r="A1171">
            <v>5</v>
          </cell>
          <cell r="B1171">
            <v>0</v>
          </cell>
          <cell r="C1171">
            <v>368</v>
          </cell>
          <cell r="D1171" t="str">
            <v xml:space="preserve">  </v>
          </cell>
          <cell r="E1171" t="str">
            <v xml:space="preserve">    </v>
          </cell>
          <cell r="F1171" t="str">
            <v xml:space="preserve">   </v>
          </cell>
          <cell r="G1171">
            <v>50368</v>
          </cell>
          <cell r="H1171">
            <v>107966413.3</v>
          </cell>
          <cell r="I1171">
            <v>0</v>
          </cell>
          <cell r="J1171">
            <v>68003262.890000001</v>
          </cell>
          <cell r="K1171">
            <v>39963150.420000002</v>
          </cell>
          <cell r="L1171">
            <v>0</v>
          </cell>
        </row>
        <row r="1172">
          <cell r="A1172">
            <v>3</v>
          </cell>
          <cell r="B1172">
            <v>0</v>
          </cell>
          <cell r="C1172">
            <v>369</v>
          </cell>
          <cell r="D1172" t="str">
            <v xml:space="preserve">  </v>
          </cell>
          <cell r="E1172" t="str">
            <v xml:space="preserve">    </v>
          </cell>
          <cell r="F1172" t="str">
            <v xml:space="preserve">   </v>
          </cell>
          <cell r="G1172">
            <v>30369</v>
          </cell>
          <cell r="H1172">
            <v>68962690</v>
          </cell>
          <cell r="I1172">
            <v>0</v>
          </cell>
          <cell r="J1172">
            <v>44062595.840000004</v>
          </cell>
          <cell r="K1172">
            <v>24900094.16</v>
          </cell>
          <cell r="L1172">
            <v>0</v>
          </cell>
        </row>
        <row r="1173">
          <cell r="A1173">
            <v>4</v>
          </cell>
          <cell r="B1173">
            <v>0</v>
          </cell>
          <cell r="C1173">
            <v>369</v>
          </cell>
          <cell r="D1173" t="str">
            <v xml:space="preserve">  </v>
          </cell>
          <cell r="E1173" t="str">
            <v xml:space="preserve">    </v>
          </cell>
          <cell r="F1173" t="str">
            <v xml:space="preserve">   </v>
          </cell>
          <cell r="G1173">
            <v>40369</v>
          </cell>
          <cell r="H1173">
            <v>67353180.230000004</v>
          </cell>
          <cell r="I1173">
            <v>0</v>
          </cell>
          <cell r="J1173">
            <v>42965805.700000003</v>
          </cell>
          <cell r="K1173">
            <v>24387374.550000001</v>
          </cell>
          <cell r="L1173">
            <v>0</v>
          </cell>
        </row>
        <row r="1174">
          <cell r="A1174">
            <v>5</v>
          </cell>
          <cell r="B1174">
            <v>0</v>
          </cell>
          <cell r="C1174">
            <v>369</v>
          </cell>
          <cell r="D1174" t="str">
            <v xml:space="preserve">  </v>
          </cell>
          <cell r="E1174" t="str">
            <v xml:space="preserve">    </v>
          </cell>
          <cell r="F1174" t="str">
            <v xml:space="preserve">   </v>
          </cell>
          <cell r="G1174">
            <v>50369</v>
          </cell>
          <cell r="H1174">
            <v>68791607.560000002</v>
          </cell>
          <cell r="I1174">
            <v>0</v>
          </cell>
          <cell r="J1174">
            <v>43972364.049999997</v>
          </cell>
          <cell r="K1174">
            <v>24819243.52</v>
          </cell>
          <cell r="L1174">
            <v>0</v>
          </cell>
        </row>
        <row r="1175">
          <cell r="A1175">
            <v>3</v>
          </cell>
          <cell r="B1175">
            <v>0</v>
          </cell>
          <cell r="C1175">
            <v>370</v>
          </cell>
          <cell r="D1175" t="str">
            <v xml:space="preserve">  </v>
          </cell>
          <cell r="E1175" t="str">
            <v xml:space="preserve">    </v>
          </cell>
          <cell r="F1175" t="str">
            <v xml:space="preserve">   </v>
          </cell>
          <cell r="G1175">
            <v>30370</v>
          </cell>
          <cell r="H1175">
            <v>22394989.609999999</v>
          </cell>
          <cell r="I1175">
            <v>37710.76</v>
          </cell>
          <cell r="J1175">
            <v>15721364.52</v>
          </cell>
          <cell r="K1175">
            <v>6635914.3300000001</v>
          </cell>
          <cell r="L1175">
            <v>0</v>
          </cell>
        </row>
        <row r="1176">
          <cell r="A1176">
            <v>4</v>
          </cell>
          <cell r="B1176">
            <v>0</v>
          </cell>
          <cell r="C1176">
            <v>370</v>
          </cell>
          <cell r="D1176" t="str">
            <v xml:space="preserve">  </v>
          </cell>
          <cell r="E1176" t="str">
            <v xml:space="preserve">    </v>
          </cell>
          <cell r="F1176" t="str">
            <v xml:space="preserve">   </v>
          </cell>
          <cell r="G1176">
            <v>40370</v>
          </cell>
          <cell r="H1176">
            <v>21854893.399999999</v>
          </cell>
          <cell r="I1176">
            <v>1585.9</v>
          </cell>
          <cell r="J1176">
            <v>15355835.630000001</v>
          </cell>
          <cell r="K1176">
            <v>6497471.8700000001</v>
          </cell>
          <cell r="L1176">
            <v>0</v>
          </cell>
        </row>
        <row r="1177">
          <cell r="A1177">
            <v>5</v>
          </cell>
          <cell r="B1177">
            <v>0</v>
          </cell>
          <cell r="C1177">
            <v>370</v>
          </cell>
          <cell r="D1177" t="str">
            <v xml:space="preserve">  </v>
          </cell>
          <cell r="E1177" t="str">
            <v xml:space="preserve">    </v>
          </cell>
          <cell r="F1177" t="str">
            <v xml:space="preserve">   </v>
          </cell>
          <cell r="G1177">
            <v>50370</v>
          </cell>
          <cell r="H1177">
            <v>22326241.199999999</v>
          </cell>
          <cell r="I1177">
            <v>18855.38</v>
          </cell>
          <cell r="J1177">
            <v>15684271.029999999</v>
          </cell>
          <cell r="K1177">
            <v>6623114.79</v>
          </cell>
          <cell r="L1177">
            <v>0</v>
          </cell>
        </row>
        <row r="1178">
          <cell r="A1178">
            <v>3</v>
          </cell>
          <cell r="B1178">
            <v>0</v>
          </cell>
          <cell r="C1178">
            <v>373</v>
          </cell>
          <cell r="D1178" t="str">
            <v xml:space="preserve">  </v>
          </cell>
          <cell r="E1178" t="str">
            <v xml:space="preserve">    </v>
          </cell>
          <cell r="F1178" t="str">
            <v xml:space="preserve">   </v>
          </cell>
          <cell r="G1178">
            <v>30373</v>
          </cell>
          <cell r="H1178">
            <v>15675927.210000001</v>
          </cell>
          <cell r="I1178">
            <v>0</v>
          </cell>
          <cell r="J1178">
            <v>9554691.9399999995</v>
          </cell>
          <cell r="K1178">
            <v>6121235.2699999996</v>
          </cell>
          <cell r="L1178">
            <v>0</v>
          </cell>
        </row>
        <row r="1179">
          <cell r="A1179">
            <v>4</v>
          </cell>
          <cell r="B1179">
            <v>0</v>
          </cell>
          <cell r="C1179">
            <v>373</v>
          </cell>
          <cell r="D1179" t="str">
            <v xml:space="preserve">  </v>
          </cell>
          <cell r="E1179" t="str">
            <v xml:space="preserve">    </v>
          </cell>
          <cell r="F1179" t="str">
            <v xml:space="preserve">   </v>
          </cell>
          <cell r="G1179">
            <v>40373</v>
          </cell>
          <cell r="H1179">
            <v>15208576.84</v>
          </cell>
          <cell r="I1179">
            <v>0</v>
          </cell>
          <cell r="J1179">
            <v>9393364.3499999996</v>
          </cell>
          <cell r="K1179">
            <v>5815212.5</v>
          </cell>
          <cell r="L1179">
            <v>0</v>
          </cell>
        </row>
        <row r="1180">
          <cell r="A1180">
            <v>5</v>
          </cell>
          <cell r="B1180">
            <v>0</v>
          </cell>
          <cell r="C1180">
            <v>373</v>
          </cell>
          <cell r="D1180" t="str">
            <v xml:space="preserve">  </v>
          </cell>
          <cell r="E1180" t="str">
            <v xml:space="preserve">    </v>
          </cell>
          <cell r="F1180" t="str">
            <v xml:space="preserve">   </v>
          </cell>
          <cell r="G1180">
            <v>50373</v>
          </cell>
          <cell r="H1180">
            <v>15597514.57</v>
          </cell>
          <cell r="I1180">
            <v>0</v>
          </cell>
          <cell r="J1180">
            <v>9535692.6799999997</v>
          </cell>
          <cell r="K1180">
            <v>6061821.9000000004</v>
          </cell>
          <cell r="L1180">
            <v>0</v>
          </cell>
        </row>
        <row r="1181">
          <cell r="A1181">
            <v>3</v>
          </cell>
          <cell r="B1181">
            <v>0</v>
          </cell>
          <cell r="C1181">
            <v>389</v>
          </cell>
          <cell r="D1181" t="str">
            <v xml:space="preserve">  </v>
          </cell>
          <cell r="E1181" t="str">
            <v xml:space="preserve">    </v>
          </cell>
          <cell r="F1181" t="str">
            <v xml:space="preserve">   </v>
          </cell>
          <cell r="G1181">
            <v>30389</v>
          </cell>
          <cell r="H1181">
            <v>216810.19</v>
          </cell>
          <cell r="I1181">
            <v>2061.11</v>
          </cell>
          <cell r="J1181">
            <v>112842.3</v>
          </cell>
          <cell r="K1181">
            <v>101906.78</v>
          </cell>
          <cell r="L1181">
            <v>0</v>
          </cell>
        </row>
        <row r="1182">
          <cell r="A1182">
            <v>4</v>
          </cell>
          <cell r="B1182">
            <v>0</v>
          </cell>
          <cell r="C1182">
            <v>389</v>
          </cell>
          <cell r="D1182" t="str">
            <v xml:space="preserve">  </v>
          </cell>
          <cell r="E1182" t="str">
            <v xml:space="preserve">    </v>
          </cell>
          <cell r="F1182" t="str">
            <v xml:space="preserve">   </v>
          </cell>
          <cell r="G1182">
            <v>40389</v>
          </cell>
          <cell r="H1182">
            <v>216809.87</v>
          </cell>
          <cell r="I1182">
            <v>2061.0100000000002</v>
          </cell>
          <cell r="J1182">
            <v>112842.24000000001</v>
          </cell>
          <cell r="K1182">
            <v>101906.66</v>
          </cell>
          <cell r="L1182">
            <v>0</v>
          </cell>
        </row>
        <row r="1183">
          <cell r="A1183">
            <v>5</v>
          </cell>
          <cell r="B1183">
            <v>0</v>
          </cell>
          <cell r="C1183">
            <v>389</v>
          </cell>
          <cell r="D1183" t="str">
            <v xml:space="preserve">  </v>
          </cell>
          <cell r="E1183" t="str">
            <v xml:space="preserve">    </v>
          </cell>
          <cell r="F1183" t="str">
            <v xml:space="preserve">   </v>
          </cell>
          <cell r="G1183">
            <v>50389</v>
          </cell>
          <cell r="H1183">
            <v>216810.18</v>
          </cell>
          <cell r="I1183">
            <v>2061.11</v>
          </cell>
          <cell r="J1183">
            <v>112842.3</v>
          </cell>
          <cell r="K1183">
            <v>101906.78</v>
          </cell>
          <cell r="L1183">
            <v>0</v>
          </cell>
        </row>
        <row r="1184">
          <cell r="A1184">
            <v>3</v>
          </cell>
          <cell r="B1184">
            <v>0</v>
          </cell>
          <cell r="C1184">
            <v>390</v>
          </cell>
          <cell r="D1184" t="str">
            <v xml:space="preserve">  </v>
          </cell>
          <cell r="E1184" t="str">
            <v xml:space="preserve">    </v>
          </cell>
          <cell r="F1184" t="str">
            <v xml:space="preserve">   </v>
          </cell>
          <cell r="G1184">
            <v>30390</v>
          </cell>
          <cell r="H1184">
            <v>1637696.22</v>
          </cell>
          <cell r="I1184">
            <v>561162.13</v>
          </cell>
          <cell r="J1184">
            <v>114406.75</v>
          </cell>
          <cell r="K1184">
            <v>962127.34</v>
          </cell>
          <cell r="L1184">
            <v>0</v>
          </cell>
        </row>
        <row r="1185">
          <cell r="A1185">
            <v>4</v>
          </cell>
          <cell r="B1185">
            <v>0</v>
          </cell>
          <cell r="C1185">
            <v>390</v>
          </cell>
          <cell r="D1185" t="str">
            <v xml:space="preserve">  </v>
          </cell>
          <cell r="E1185" t="str">
            <v xml:space="preserve">    </v>
          </cell>
          <cell r="F1185" t="str">
            <v xml:space="preserve">   </v>
          </cell>
          <cell r="G1185">
            <v>40390</v>
          </cell>
          <cell r="H1185">
            <v>1613588.73</v>
          </cell>
          <cell r="I1185">
            <v>559102.35</v>
          </cell>
          <cell r="J1185">
            <v>114406.48</v>
          </cell>
          <cell r="K1185">
            <v>940080.07</v>
          </cell>
          <cell r="L1185">
            <v>0</v>
          </cell>
        </row>
        <row r="1186">
          <cell r="A1186">
            <v>5</v>
          </cell>
          <cell r="B1186">
            <v>0</v>
          </cell>
          <cell r="C1186">
            <v>390</v>
          </cell>
          <cell r="D1186" t="str">
            <v xml:space="preserve">  </v>
          </cell>
          <cell r="E1186" t="str">
            <v xml:space="preserve">    </v>
          </cell>
          <cell r="F1186" t="str">
            <v xml:space="preserve">   </v>
          </cell>
          <cell r="G1186">
            <v>50390</v>
          </cell>
          <cell r="H1186">
            <v>1636340.98</v>
          </cell>
          <cell r="I1186">
            <v>561162.13</v>
          </cell>
          <cell r="J1186">
            <v>114406.74</v>
          </cell>
          <cell r="K1186">
            <v>960772.12</v>
          </cell>
          <cell r="L1186">
            <v>0</v>
          </cell>
        </row>
        <row r="1187">
          <cell r="A1187">
            <v>3</v>
          </cell>
          <cell r="B1187">
            <v>0</v>
          </cell>
          <cell r="C1187">
            <v>391</v>
          </cell>
          <cell r="D1187" t="str">
            <v xml:space="preserve">  </v>
          </cell>
          <cell r="E1187" t="str">
            <v xml:space="preserve">    </v>
          </cell>
          <cell r="F1187" t="str">
            <v xml:space="preserve">   </v>
          </cell>
          <cell r="G1187">
            <v>30391</v>
          </cell>
          <cell r="H1187">
            <v>20205.25</v>
          </cell>
          <cell r="I1187">
            <v>21380.76</v>
          </cell>
          <cell r="J1187">
            <v>0</v>
          </cell>
          <cell r="K1187">
            <v>-1175.51</v>
          </cell>
          <cell r="L1187">
            <v>0</v>
          </cell>
        </row>
        <row r="1188">
          <cell r="A1188">
            <v>4</v>
          </cell>
          <cell r="B1188">
            <v>0</v>
          </cell>
          <cell r="C1188">
            <v>391</v>
          </cell>
          <cell r="D1188" t="str">
            <v xml:space="preserve">  </v>
          </cell>
          <cell r="E1188" t="str">
            <v xml:space="preserve">    </v>
          </cell>
          <cell r="F1188" t="str">
            <v xml:space="preserve">   </v>
          </cell>
          <cell r="G1188">
            <v>40391</v>
          </cell>
          <cell r="H1188">
            <v>25696.94</v>
          </cell>
          <cell r="I1188">
            <v>26040.1</v>
          </cell>
          <cell r="J1188">
            <v>0</v>
          </cell>
          <cell r="K1188">
            <v>-342.79</v>
          </cell>
          <cell r="L1188">
            <v>0</v>
          </cell>
        </row>
        <row r="1189">
          <cell r="A1189">
            <v>5</v>
          </cell>
          <cell r="B1189">
            <v>0</v>
          </cell>
          <cell r="C1189">
            <v>391</v>
          </cell>
          <cell r="D1189" t="str">
            <v xml:space="preserve">  </v>
          </cell>
          <cell r="E1189" t="str">
            <v xml:space="preserve">    </v>
          </cell>
          <cell r="F1189" t="str">
            <v xml:space="preserve">   </v>
          </cell>
          <cell r="G1189">
            <v>50391</v>
          </cell>
          <cell r="H1189">
            <v>20205.240000000002</v>
          </cell>
          <cell r="I1189">
            <v>21380.76</v>
          </cell>
          <cell r="J1189">
            <v>0</v>
          </cell>
          <cell r="K1189">
            <v>-1175.49</v>
          </cell>
          <cell r="L1189">
            <v>0</v>
          </cell>
        </row>
        <row r="1190">
          <cell r="A1190">
            <v>3</v>
          </cell>
          <cell r="B1190">
            <v>0</v>
          </cell>
          <cell r="C1190">
            <v>392</v>
          </cell>
          <cell r="D1190" t="str">
            <v xml:space="preserve">  </v>
          </cell>
          <cell r="E1190" t="str">
            <v xml:space="preserve">    </v>
          </cell>
          <cell r="F1190" t="str">
            <v xml:space="preserve">   </v>
          </cell>
          <cell r="G1190">
            <v>30392</v>
          </cell>
          <cell r="H1190">
            <v>7331548.3600000003</v>
          </cell>
          <cell r="I1190">
            <v>3482719.34</v>
          </cell>
          <cell r="J1190">
            <v>2761526.19</v>
          </cell>
          <cell r="K1190">
            <v>1087302.83</v>
          </cell>
          <cell r="L1190">
            <v>0</v>
          </cell>
        </row>
        <row r="1191">
          <cell r="A1191">
            <v>4</v>
          </cell>
          <cell r="B1191">
            <v>0</v>
          </cell>
          <cell r="C1191">
            <v>392</v>
          </cell>
          <cell r="D1191" t="str">
            <v xml:space="preserve">  </v>
          </cell>
          <cell r="E1191" t="str">
            <v xml:space="preserve">    </v>
          </cell>
          <cell r="F1191" t="str">
            <v xml:space="preserve">   </v>
          </cell>
          <cell r="G1191">
            <v>40392</v>
          </cell>
          <cell r="H1191">
            <v>6897707.4100000001</v>
          </cell>
          <cell r="I1191">
            <v>3314393.63</v>
          </cell>
          <cell r="J1191">
            <v>2496011.11</v>
          </cell>
          <cell r="K1191">
            <v>1087302.72</v>
          </cell>
          <cell r="L1191">
            <v>0</v>
          </cell>
        </row>
        <row r="1192">
          <cell r="A1192">
            <v>5</v>
          </cell>
          <cell r="B1192">
            <v>0</v>
          </cell>
          <cell r="C1192">
            <v>392</v>
          </cell>
          <cell r="D1192" t="str">
            <v xml:space="preserve">  </v>
          </cell>
          <cell r="E1192" t="str">
            <v xml:space="preserve">    </v>
          </cell>
          <cell r="F1192" t="str">
            <v xml:space="preserve">   </v>
          </cell>
          <cell r="G1192">
            <v>50392</v>
          </cell>
          <cell r="H1192">
            <v>7305714.7400000002</v>
          </cell>
          <cell r="I1192">
            <v>3458354.73</v>
          </cell>
          <cell r="J1192">
            <v>2760057.19</v>
          </cell>
          <cell r="K1192">
            <v>1087302.83</v>
          </cell>
          <cell r="L1192">
            <v>0</v>
          </cell>
        </row>
        <row r="1193">
          <cell r="A1193">
            <v>3</v>
          </cell>
          <cell r="B1193">
            <v>0</v>
          </cell>
          <cell r="C1193">
            <v>393</v>
          </cell>
          <cell r="D1193" t="str">
            <v xml:space="preserve">  </v>
          </cell>
          <cell r="E1193" t="str">
            <v xml:space="preserve">    </v>
          </cell>
          <cell r="F1193" t="str">
            <v xml:space="preserve">   </v>
          </cell>
          <cell r="G1193">
            <v>30393</v>
          </cell>
          <cell r="H1193">
            <v>99196.42</v>
          </cell>
          <cell r="I1193">
            <v>47103.71</v>
          </cell>
          <cell r="J1193">
            <v>21952.91</v>
          </cell>
          <cell r="K1193">
            <v>30139.8</v>
          </cell>
          <cell r="L1193">
            <v>0</v>
          </cell>
        </row>
        <row r="1194">
          <cell r="A1194">
            <v>4</v>
          </cell>
          <cell r="B1194">
            <v>0</v>
          </cell>
          <cell r="C1194">
            <v>393</v>
          </cell>
          <cell r="D1194" t="str">
            <v xml:space="preserve">  </v>
          </cell>
          <cell r="E1194" t="str">
            <v xml:space="preserve">    </v>
          </cell>
          <cell r="F1194" t="str">
            <v xml:space="preserve">   </v>
          </cell>
          <cell r="G1194">
            <v>40393</v>
          </cell>
          <cell r="H1194">
            <v>99196.1</v>
          </cell>
          <cell r="I1194">
            <v>47103.6</v>
          </cell>
          <cell r="J1194">
            <v>21952.84</v>
          </cell>
          <cell r="K1194">
            <v>30139.7</v>
          </cell>
          <cell r="L1194">
            <v>0</v>
          </cell>
        </row>
        <row r="1195">
          <cell r="A1195">
            <v>5</v>
          </cell>
          <cell r="B1195">
            <v>0</v>
          </cell>
          <cell r="C1195">
            <v>393</v>
          </cell>
          <cell r="D1195" t="str">
            <v xml:space="preserve">  </v>
          </cell>
          <cell r="E1195" t="str">
            <v xml:space="preserve">    </v>
          </cell>
          <cell r="F1195" t="str">
            <v xml:space="preserve">   </v>
          </cell>
          <cell r="G1195">
            <v>50393</v>
          </cell>
          <cell r="H1195">
            <v>99196.4</v>
          </cell>
          <cell r="I1195">
            <v>47103.7</v>
          </cell>
          <cell r="J1195">
            <v>21952.91</v>
          </cell>
          <cell r="K1195">
            <v>30139.8</v>
          </cell>
          <cell r="L1195">
            <v>0</v>
          </cell>
        </row>
        <row r="1196">
          <cell r="A1196">
            <v>3</v>
          </cell>
          <cell r="B1196">
            <v>0</v>
          </cell>
          <cell r="C1196">
            <v>394</v>
          </cell>
          <cell r="D1196" t="str">
            <v xml:space="preserve">  </v>
          </cell>
          <cell r="E1196" t="str">
            <v xml:space="preserve">    </v>
          </cell>
          <cell r="F1196" t="str">
            <v xml:space="preserve">   </v>
          </cell>
          <cell r="G1196">
            <v>30394</v>
          </cell>
          <cell r="H1196">
            <v>2098004.46</v>
          </cell>
          <cell r="I1196">
            <v>1077637.33</v>
          </cell>
          <cell r="J1196">
            <v>672326.62</v>
          </cell>
          <cell r="K1196">
            <v>348040.51</v>
          </cell>
          <cell r="L1196">
            <v>0</v>
          </cell>
        </row>
        <row r="1197">
          <cell r="A1197">
            <v>4</v>
          </cell>
          <cell r="B1197">
            <v>0</v>
          </cell>
          <cell r="C1197">
            <v>394</v>
          </cell>
          <cell r="D1197" t="str">
            <v xml:space="preserve">  </v>
          </cell>
          <cell r="E1197" t="str">
            <v xml:space="preserve">    </v>
          </cell>
          <cell r="F1197" t="str">
            <v xml:space="preserve">   </v>
          </cell>
          <cell r="G1197">
            <v>40394</v>
          </cell>
          <cell r="H1197">
            <v>2038494.13</v>
          </cell>
          <cell r="I1197">
            <v>1039098.36</v>
          </cell>
          <cell r="J1197">
            <v>651985.36</v>
          </cell>
          <cell r="K1197">
            <v>347410.46</v>
          </cell>
          <cell r="L1197">
            <v>0</v>
          </cell>
        </row>
        <row r="1198">
          <cell r="A1198">
            <v>5</v>
          </cell>
          <cell r="B1198">
            <v>0</v>
          </cell>
          <cell r="C1198">
            <v>394</v>
          </cell>
          <cell r="D1198" t="str">
            <v xml:space="preserve">  </v>
          </cell>
          <cell r="E1198" t="str">
            <v xml:space="preserve">    </v>
          </cell>
          <cell r="F1198" t="str">
            <v xml:space="preserve">   </v>
          </cell>
          <cell r="G1198">
            <v>50394</v>
          </cell>
          <cell r="H1198">
            <v>2096578.74</v>
          </cell>
          <cell r="I1198">
            <v>1077637.32</v>
          </cell>
          <cell r="J1198">
            <v>670900.92000000004</v>
          </cell>
          <cell r="K1198">
            <v>348040.51</v>
          </cell>
          <cell r="L1198">
            <v>0</v>
          </cell>
        </row>
        <row r="1199">
          <cell r="A1199">
            <v>3</v>
          </cell>
          <cell r="B1199">
            <v>0</v>
          </cell>
          <cell r="C1199">
            <v>395</v>
          </cell>
          <cell r="D1199" t="str">
            <v xml:space="preserve">  </v>
          </cell>
          <cell r="E1199" t="str">
            <v xml:space="preserve">    </v>
          </cell>
          <cell r="F1199" t="str">
            <v xml:space="preserve">   </v>
          </cell>
          <cell r="G1199">
            <v>30395</v>
          </cell>
          <cell r="H1199">
            <v>2589485.34</v>
          </cell>
          <cell r="I1199">
            <v>2037094.26</v>
          </cell>
          <cell r="J1199">
            <v>256430.55</v>
          </cell>
          <cell r="K1199">
            <v>295960.53000000003</v>
          </cell>
          <cell r="L1199">
            <v>0</v>
          </cell>
        </row>
        <row r="1200">
          <cell r="A1200">
            <v>4</v>
          </cell>
          <cell r="B1200">
            <v>0</v>
          </cell>
          <cell r="C1200">
            <v>395</v>
          </cell>
          <cell r="D1200" t="str">
            <v xml:space="preserve">  </v>
          </cell>
          <cell r="E1200" t="str">
            <v xml:space="preserve">    </v>
          </cell>
          <cell r="F1200" t="str">
            <v xml:space="preserve">   </v>
          </cell>
          <cell r="G1200">
            <v>40395</v>
          </cell>
          <cell r="H1200">
            <v>2494914.63</v>
          </cell>
          <cell r="I1200">
            <v>1966034.76</v>
          </cell>
          <cell r="J1200">
            <v>237775.17</v>
          </cell>
          <cell r="K1200">
            <v>291104.74</v>
          </cell>
          <cell r="L1200">
            <v>0</v>
          </cell>
        </row>
        <row r="1201">
          <cell r="A1201">
            <v>5</v>
          </cell>
          <cell r="B1201">
            <v>0</v>
          </cell>
          <cell r="C1201">
            <v>395</v>
          </cell>
          <cell r="D1201" t="str">
            <v xml:space="preserve">  </v>
          </cell>
          <cell r="E1201" t="str">
            <v xml:space="preserve">    </v>
          </cell>
          <cell r="F1201" t="str">
            <v xml:space="preserve">   </v>
          </cell>
          <cell r="G1201">
            <v>50395</v>
          </cell>
          <cell r="H1201">
            <v>2589168.77</v>
          </cell>
          <cell r="I1201">
            <v>2036777.71</v>
          </cell>
          <cell r="J1201">
            <v>256430.55</v>
          </cell>
          <cell r="K1201">
            <v>295960.52</v>
          </cell>
          <cell r="L1201">
            <v>0</v>
          </cell>
        </row>
        <row r="1202">
          <cell r="A1202">
            <v>3</v>
          </cell>
          <cell r="B1202">
            <v>0</v>
          </cell>
          <cell r="C1202">
            <v>396</v>
          </cell>
          <cell r="D1202" t="str">
            <v xml:space="preserve">  </v>
          </cell>
          <cell r="E1202" t="str">
            <v xml:space="preserve">    </v>
          </cell>
          <cell r="F1202" t="str">
            <v xml:space="preserve">   </v>
          </cell>
          <cell r="G1202">
            <v>30396</v>
          </cell>
          <cell r="H1202">
            <v>15908444.41</v>
          </cell>
          <cell r="I1202">
            <v>5854918.8600000003</v>
          </cell>
          <cell r="J1202">
            <v>5997640</v>
          </cell>
          <cell r="K1202">
            <v>4055885.55</v>
          </cell>
          <cell r="L1202">
            <v>0</v>
          </cell>
        </row>
        <row r="1203">
          <cell r="A1203">
            <v>4</v>
          </cell>
          <cell r="B1203">
            <v>0</v>
          </cell>
          <cell r="C1203">
            <v>396</v>
          </cell>
          <cell r="D1203" t="str">
            <v xml:space="preserve">  </v>
          </cell>
          <cell r="E1203" t="str">
            <v xml:space="preserve">    </v>
          </cell>
          <cell r="F1203" t="str">
            <v xml:space="preserve">   </v>
          </cell>
          <cell r="G1203">
            <v>40396</v>
          </cell>
          <cell r="H1203">
            <v>15783058.77</v>
          </cell>
          <cell r="I1203">
            <v>5782142.0599999996</v>
          </cell>
          <cell r="J1203">
            <v>5945031.6600000001</v>
          </cell>
          <cell r="K1203">
            <v>4055885.21</v>
          </cell>
          <cell r="L1203">
            <v>0</v>
          </cell>
        </row>
        <row r="1204">
          <cell r="A1204">
            <v>5</v>
          </cell>
          <cell r="B1204">
            <v>0</v>
          </cell>
          <cell r="C1204">
            <v>396</v>
          </cell>
          <cell r="D1204" t="str">
            <v xml:space="preserve">  </v>
          </cell>
          <cell r="E1204" t="str">
            <v xml:space="preserve">    </v>
          </cell>
          <cell r="F1204" t="str">
            <v xml:space="preserve">   </v>
          </cell>
          <cell r="G1204">
            <v>50396</v>
          </cell>
          <cell r="H1204">
            <v>15908444.380000001</v>
          </cell>
          <cell r="I1204">
            <v>5854918.8600000003</v>
          </cell>
          <cell r="J1204">
            <v>5997640.0199999996</v>
          </cell>
          <cell r="K1204">
            <v>4055885.55</v>
          </cell>
          <cell r="L1204">
            <v>0</v>
          </cell>
        </row>
        <row r="1205">
          <cell r="A1205">
            <v>3</v>
          </cell>
          <cell r="B1205">
            <v>0</v>
          </cell>
          <cell r="C1205">
            <v>397</v>
          </cell>
          <cell r="D1205" t="str">
            <v xml:space="preserve">  </v>
          </cell>
          <cell r="E1205" t="str">
            <v xml:space="preserve">    </v>
          </cell>
          <cell r="F1205" t="str">
            <v xml:space="preserve">   </v>
          </cell>
          <cell r="G1205">
            <v>30397</v>
          </cell>
          <cell r="H1205">
            <v>13605253.67</v>
          </cell>
          <cell r="I1205">
            <v>10997624.189999999</v>
          </cell>
          <cell r="J1205">
            <v>1979078.1</v>
          </cell>
          <cell r="K1205">
            <v>628551.38</v>
          </cell>
          <cell r="L1205">
            <v>0</v>
          </cell>
        </row>
        <row r="1206">
          <cell r="A1206">
            <v>4</v>
          </cell>
          <cell r="B1206">
            <v>0</v>
          </cell>
          <cell r="C1206">
            <v>397</v>
          </cell>
          <cell r="D1206" t="str">
            <v xml:space="preserve">  </v>
          </cell>
          <cell r="E1206" t="str">
            <v xml:space="preserve">    </v>
          </cell>
          <cell r="F1206" t="str">
            <v xml:space="preserve">   </v>
          </cell>
          <cell r="G1206">
            <v>40397</v>
          </cell>
          <cell r="H1206">
            <v>13575693.289999999</v>
          </cell>
          <cell r="I1206">
            <v>10860677.23</v>
          </cell>
          <cell r="J1206">
            <v>2016373.89</v>
          </cell>
          <cell r="K1206">
            <v>698642.28</v>
          </cell>
          <cell r="L1206">
            <v>0</v>
          </cell>
        </row>
        <row r="1207">
          <cell r="A1207">
            <v>5</v>
          </cell>
          <cell r="B1207">
            <v>0</v>
          </cell>
          <cell r="C1207">
            <v>397</v>
          </cell>
          <cell r="D1207" t="str">
            <v xml:space="preserve">  </v>
          </cell>
          <cell r="E1207" t="str">
            <v xml:space="preserve">    </v>
          </cell>
          <cell r="F1207" t="str">
            <v xml:space="preserve">   </v>
          </cell>
          <cell r="G1207">
            <v>50397</v>
          </cell>
          <cell r="H1207">
            <v>13490602.35</v>
          </cell>
          <cell r="I1207">
            <v>10824142.59</v>
          </cell>
          <cell r="J1207">
            <v>1997942.09</v>
          </cell>
          <cell r="K1207">
            <v>668517.69999999995</v>
          </cell>
          <cell r="L1207">
            <v>0</v>
          </cell>
        </row>
        <row r="1208">
          <cell r="A1208">
            <v>3</v>
          </cell>
          <cell r="B1208">
            <v>0</v>
          </cell>
          <cell r="C1208">
            <v>398</v>
          </cell>
          <cell r="D1208" t="str">
            <v xml:space="preserve">  </v>
          </cell>
          <cell r="E1208" t="str">
            <v xml:space="preserve">    </v>
          </cell>
          <cell r="F1208" t="str">
            <v xml:space="preserve">   </v>
          </cell>
          <cell r="G1208">
            <v>30398</v>
          </cell>
          <cell r="H1208">
            <v>3554.39</v>
          </cell>
          <cell r="I1208">
            <v>1252.56</v>
          </cell>
          <cell r="J1208">
            <v>0</v>
          </cell>
          <cell r="K1208">
            <v>2301.83</v>
          </cell>
          <cell r="L1208">
            <v>0</v>
          </cell>
        </row>
        <row r="1209">
          <cell r="A1209">
            <v>4</v>
          </cell>
          <cell r="B1209">
            <v>0</v>
          </cell>
          <cell r="C1209">
            <v>398</v>
          </cell>
          <cell r="D1209" t="str">
            <v xml:space="preserve">  </v>
          </cell>
          <cell r="E1209" t="str">
            <v xml:space="preserve">    </v>
          </cell>
          <cell r="F1209" t="str">
            <v xml:space="preserve">   </v>
          </cell>
          <cell r="G1209">
            <v>40398</v>
          </cell>
          <cell r="H1209">
            <v>3554.06</v>
          </cell>
          <cell r="I1209">
            <v>1252.44</v>
          </cell>
          <cell r="J1209">
            <v>0.13</v>
          </cell>
          <cell r="K1209">
            <v>2301.73</v>
          </cell>
          <cell r="L1209">
            <v>0</v>
          </cell>
        </row>
        <row r="1210">
          <cell r="A1210">
            <v>5</v>
          </cell>
          <cell r="B1210">
            <v>0</v>
          </cell>
          <cell r="C1210">
            <v>398</v>
          </cell>
          <cell r="D1210" t="str">
            <v xml:space="preserve">  </v>
          </cell>
          <cell r="E1210" t="str">
            <v xml:space="preserve">    </v>
          </cell>
          <cell r="F1210" t="str">
            <v xml:space="preserve">   </v>
          </cell>
          <cell r="G1210">
            <v>50398</v>
          </cell>
          <cell r="H1210">
            <v>3554.36</v>
          </cell>
          <cell r="I1210">
            <v>1252.55</v>
          </cell>
          <cell r="J1210">
            <v>0</v>
          </cell>
          <cell r="K1210">
            <v>2301.83</v>
          </cell>
          <cell r="L1210">
            <v>0</v>
          </cell>
        </row>
        <row r="1211">
          <cell r="A1211">
            <v>3</v>
          </cell>
          <cell r="B1211">
            <v>1</v>
          </cell>
          <cell r="C1211">
            <v>350</v>
          </cell>
          <cell r="D1211" t="str">
            <v xml:space="preserve">  </v>
          </cell>
          <cell r="E1211" t="str">
            <v xml:space="preserve">    </v>
          </cell>
          <cell r="F1211" t="str">
            <v xml:space="preserve">   </v>
          </cell>
          <cell r="G1211">
            <v>31350</v>
          </cell>
          <cell r="H1211">
            <v>391798.6</v>
          </cell>
          <cell r="I1211">
            <v>391798.6</v>
          </cell>
          <cell r="J1211">
            <v>0</v>
          </cell>
          <cell r="K1211">
            <v>0</v>
          </cell>
          <cell r="L1211">
            <v>0</v>
          </cell>
        </row>
        <row r="1212">
          <cell r="A1212">
            <v>4</v>
          </cell>
          <cell r="B1212">
            <v>1</v>
          </cell>
          <cell r="C1212">
            <v>350</v>
          </cell>
          <cell r="D1212" t="str">
            <v xml:space="preserve">  </v>
          </cell>
          <cell r="E1212" t="str">
            <v xml:space="preserve">    </v>
          </cell>
          <cell r="F1212" t="str">
            <v xml:space="preserve">   </v>
          </cell>
          <cell r="G1212">
            <v>41350</v>
          </cell>
          <cell r="H1212">
            <v>391798.56</v>
          </cell>
          <cell r="I1212">
            <v>391798.56</v>
          </cell>
          <cell r="J1212">
            <v>0</v>
          </cell>
          <cell r="K1212">
            <v>0</v>
          </cell>
          <cell r="L1212">
            <v>0</v>
          </cell>
        </row>
        <row r="1213">
          <cell r="A1213">
            <v>5</v>
          </cell>
          <cell r="B1213">
            <v>1</v>
          </cell>
          <cell r="C1213">
            <v>350</v>
          </cell>
          <cell r="D1213" t="str">
            <v xml:space="preserve">  </v>
          </cell>
          <cell r="E1213" t="str">
            <v xml:space="preserve">    </v>
          </cell>
          <cell r="F1213" t="str">
            <v xml:space="preserve">   </v>
          </cell>
          <cell r="G1213">
            <v>51350</v>
          </cell>
          <cell r="H1213">
            <v>391798.58</v>
          </cell>
          <cell r="I1213">
            <v>391798.58</v>
          </cell>
          <cell r="J1213">
            <v>0</v>
          </cell>
          <cell r="K1213">
            <v>0</v>
          </cell>
          <cell r="L1213">
            <v>0</v>
          </cell>
        </row>
        <row r="1214">
          <cell r="A1214">
            <v>3</v>
          </cell>
          <cell r="B1214">
            <v>1</v>
          </cell>
          <cell r="C1214">
            <v>351</v>
          </cell>
          <cell r="D1214" t="str">
            <v xml:space="preserve">  </v>
          </cell>
          <cell r="E1214" t="str">
            <v xml:space="preserve">    </v>
          </cell>
          <cell r="F1214" t="str">
            <v xml:space="preserve">   </v>
          </cell>
          <cell r="G1214">
            <v>31351</v>
          </cell>
          <cell r="H1214">
            <v>1069958.3999999999</v>
          </cell>
          <cell r="I1214">
            <v>1069958.3999999999</v>
          </cell>
          <cell r="J1214">
            <v>0</v>
          </cell>
          <cell r="K1214">
            <v>0</v>
          </cell>
          <cell r="L1214">
            <v>0</v>
          </cell>
        </row>
        <row r="1215">
          <cell r="A1215">
            <v>4</v>
          </cell>
          <cell r="B1215">
            <v>1</v>
          </cell>
          <cell r="C1215">
            <v>351</v>
          </cell>
          <cell r="D1215" t="str">
            <v xml:space="preserve">  </v>
          </cell>
          <cell r="E1215" t="str">
            <v xml:space="preserve">    </v>
          </cell>
          <cell r="F1215" t="str">
            <v xml:space="preserve">   </v>
          </cell>
          <cell r="G1215">
            <v>41351</v>
          </cell>
          <cell r="H1215">
            <v>1069957.99</v>
          </cell>
          <cell r="I1215">
            <v>1069957.99</v>
          </cell>
          <cell r="J1215">
            <v>0</v>
          </cell>
          <cell r="K1215">
            <v>0</v>
          </cell>
          <cell r="L1215">
            <v>0</v>
          </cell>
        </row>
        <row r="1216">
          <cell r="A1216">
            <v>5</v>
          </cell>
          <cell r="B1216">
            <v>1</v>
          </cell>
          <cell r="C1216">
            <v>351</v>
          </cell>
          <cell r="D1216" t="str">
            <v xml:space="preserve">  </v>
          </cell>
          <cell r="E1216" t="str">
            <v xml:space="preserve">    </v>
          </cell>
          <cell r="F1216" t="str">
            <v xml:space="preserve">   </v>
          </cell>
          <cell r="G1216">
            <v>51351</v>
          </cell>
          <cell r="H1216">
            <v>1069958.3600000001</v>
          </cell>
          <cell r="I1216">
            <v>1069958.3600000001</v>
          </cell>
          <cell r="J1216">
            <v>0</v>
          </cell>
          <cell r="K1216">
            <v>0</v>
          </cell>
          <cell r="L1216">
            <v>0</v>
          </cell>
        </row>
        <row r="1217">
          <cell r="A1217">
            <v>3</v>
          </cell>
          <cell r="B1217">
            <v>1</v>
          </cell>
          <cell r="C1217">
            <v>352</v>
          </cell>
          <cell r="D1217" t="str">
            <v xml:space="preserve">  </v>
          </cell>
          <cell r="E1217" t="str">
            <v xml:space="preserve">    </v>
          </cell>
          <cell r="F1217" t="str">
            <v xml:space="preserve">   </v>
          </cell>
          <cell r="G1217">
            <v>31352</v>
          </cell>
          <cell r="H1217">
            <v>12259759.6</v>
          </cell>
          <cell r="I1217">
            <v>12259759.6</v>
          </cell>
          <cell r="J1217">
            <v>0</v>
          </cell>
          <cell r="K1217">
            <v>0</v>
          </cell>
          <cell r="L1217">
            <v>0</v>
          </cell>
        </row>
        <row r="1218">
          <cell r="A1218">
            <v>4</v>
          </cell>
          <cell r="B1218">
            <v>1</v>
          </cell>
          <cell r="C1218">
            <v>352</v>
          </cell>
          <cell r="D1218" t="str">
            <v xml:space="preserve">  </v>
          </cell>
          <cell r="E1218" t="str">
            <v xml:space="preserve">    </v>
          </cell>
          <cell r="F1218" t="str">
            <v xml:space="preserve">   </v>
          </cell>
          <cell r="G1218">
            <v>41352</v>
          </cell>
          <cell r="H1218">
            <v>12238600.75</v>
          </cell>
          <cell r="I1218">
            <v>12238600.75</v>
          </cell>
          <cell r="J1218">
            <v>0</v>
          </cell>
          <cell r="K1218">
            <v>0</v>
          </cell>
          <cell r="L1218">
            <v>0</v>
          </cell>
        </row>
        <row r="1219">
          <cell r="A1219">
            <v>5</v>
          </cell>
          <cell r="B1219">
            <v>1</v>
          </cell>
          <cell r="C1219">
            <v>352</v>
          </cell>
          <cell r="D1219" t="str">
            <v xml:space="preserve">  </v>
          </cell>
          <cell r="E1219" t="str">
            <v xml:space="preserve">    </v>
          </cell>
          <cell r="F1219" t="str">
            <v xml:space="preserve">   </v>
          </cell>
          <cell r="G1219">
            <v>51352</v>
          </cell>
          <cell r="H1219">
            <v>12259759.560000001</v>
          </cell>
          <cell r="I1219">
            <v>12259759.560000001</v>
          </cell>
          <cell r="J1219">
            <v>0</v>
          </cell>
          <cell r="K1219">
            <v>0</v>
          </cell>
          <cell r="L1219">
            <v>0</v>
          </cell>
        </row>
        <row r="1220">
          <cell r="A1220">
            <v>3</v>
          </cell>
          <cell r="B1220">
            <v>1</v>
          </cell>
          <cell r="C1220">
            <v>353</v>
          </cell>
          <cell r="D1220" t="str">
            <v xml:space="preserve">  </v>
          </cell>
          <cell r="E1220" t="str">
            <v xml:space="preserve">    </v>
          </cell>
          <cell r="F1220" t="str">
            <v xml:space="preserve">   </v>
          </cell>
          <cell r="G1220">
            <v>31353</v>
          </cell>
          <cell r="H1220">
            <v>799012.4</v>
          </cell>
          <cell r="I1220">
            <v>799012.4</v>
          </cell>
          <cell r="J1220">
            <v>0</v>
          </cell>
          <cell r="K1220">
            <v>0</v>
          </cell>
          <cell r="L1220">
            <v>0</v>
          </cell>
        </row>
        <row r="1221">
          <cell r="A1221">
            <v>4</v>
          </cell>
          <cell r="B1221">
            <v>1</v>
          </cell>
          <cell r="C1221">
            <v>353</v>
          </cell>
          <cell r="D1221" t="str">
            <v xml:space="preserve">  </v>
          </cell>
          <cell r="E1221" t="str">
            <v xml:space="preserve">    </v>
          </cell>
          <cell r="F1221" t="str">
            <v xml:space="preserve">   </v>
          </cell>
          <cell r="G1221">
            <v>41353</v>
          </cell>
          <cell r="H1221">
            <v>799012.32</v>
          </cell>
          <cell r="I1221">
            <v>799012.32</v>
          </cell>
          <cell r="J1221">
            <v>0</v>
          </cell>
          <cell r="K1221">
            <v>0</v>
          </cell>
          <cell r="L1221">
            <v>0</v>
          </cell>
        </row>
        <row r="1222">
          <cell r="A1222">
            <v>5</v>
          </cell>
          <cell r="B1222">
            <v>1</v>
          </cell>
          <cell r="C1222">
            <v>353</v>
          </cell>
          <cell r="D1222" t="str">
            <v xml:space="preserve">  </v>
          </cell>
          <cell r="E1222" t="str">
            <v xml:space="preserve">    </v>
          </cell>
          <cell r="F1222" t="str">
            <v xml:space="preserve">   </v>
          </cell>
          <cell r="G1222">
            <v>51353</v>
          </cell>
          <cell r="H1222">
            <v>799012.4</v>
          </cell>
          <cell r="I1222">
            <v>799012.4</v>
          </cell>
          <cell r="J1222">
            <v>0</v>
          </cell>
          <cell r="K1222">
            <v>0</v>
          </cell>
          <cell r="L1222">
            <v>0</v>
          </cell>
        </row>
        <row r="1223">
          <cell r="A1223">
            <v>3</v>
          </cell>
          <cell r="B1223">
            <v>1</v>
          </cell>
          <cell r="C1223">
            <v>354</v>
          </cell>
          <cell r="D1223" t="str">
            <v xml:space="preserve">  </v>
          </cell>
          <cell r="E1223" t="str">
            <v xml:space="preserve">    </v>
          </cell>
          <cell r="F1223" t="str">
            <v xml:space="preserve">   </v>
          </cell>
          <cell r="G1223">
            <v>31354</v>
          </cell>
          <cell r="H1223">
            <v>1509000.15</v>
          </cell>
          <cell r="I1223">
            <v>1509000.15</v>
          </cell>
          <cell r="J1223">
            <v>0</v>
          </cell>
          <cell r="K1223">
            <v>0</v>
          </cell>
          <cell r="L1223">
            <v>0</v>
          </cell>
        </row>
        <row r="1224">
          <cell r="A1224">
            <v>4</v>
          </cell>
          <cell r="B1224">
            <v>1</v>
          </cell>
          <cell r="C1224">
            <v>354</v>
          </cell>
          <cell r="D1224" t="str">
            <v xml:space="preserve">  </v>
          </cell>
          <cell r="E1224" t="str">
            <v xml:space="preserve">    </v>
          </cell>
          <cell r="F1224" t="str">
            <v xml:space="preserve">   </v>
          </cell>
          <cell r="G1224">
            <v>41354</v>
          </cell>
          <cell r="H1224">
            <v>1498026.62</v>
          </cell>
          <cell r="I1224">
            <v>1498026.62</v>
          </cell>
          <cell r="J1224">
            <v>0</v>
          </cell>
          <cell r="K1224">
            <v>0</v>
          </cell>
          <cell r="L1224">
            <v>0</v>
          </cell>
        </row>
        <row r="1225">
          <cell r="A1225">
            <v>5</v>
          </cell>
          <cell r="B1225">
            <v>1</v>
          </cell>
          <cell r="C1225">
            <v>354</v>
          </cell>
          <cell r="D1225" t="str">
            <v xml:space="preserve">  </v>
          </cell>
          <cell r="E1225" t="str">
            <v xml:space="preserve">    </v>
          </cell>
          <cell r="F1225" t="str">
            <v xml:space="preserve">   </v>
          </cell>
          <cell r="G1225">
            <v>51354</v>
          </cell>
          <cell r="H1225">
            <v>1509000.14</v>
          </cell>
          <cell r="I1225">
            <v>1509000.14</v>
          </cell>
          <cell r="J1225">
            <v>0</v>
          </cell>
          <cell r="K1225">
            <v>0</v>
          </cell>
          <cell r="L1225">
            <v>0</v>
          </cell>
        </row>
        <row r="1226">
          <cell r="A1226">
            <v>3</v>
          </cell>
          <cell r="B1226">
            <v>1</v>
          </cell>
          <cell r="C1226">
            <v>355</v>
          </cell>
          <cell r="D1226" t="str">
            <v xml:space="preserve">  </v>
          </cell>
          <cell r="E1226" t="str">
            <v xml:space="preserve">    </v>
          </cell>
          <cell r="F1226" t="str">
            <v xml:space="preserve">   </v>
          </cell>
          <cell r="G1226">
            <v>31355</v>
          </cell>
          <cell r="H1226">
            <v>940961.3</v>
          </cell>
          <cell r="I1226">
            <v>940961.3</v>
          </cell>
          <cell r="J1226">
            <v>0</v>
          </cell>
          <cell r="K1226">
            <v>0</v>
          </cell>
          <cell r="L1226">
            <v>0</v>
          </cell>
        </row>
        <row r="1227">
          <cell r="A1227">
            <v>4</v>
          </cell>
          <cell r="B1227">
            <v>1</v>
          </cell>
          <cell r="C1227">
            <v>355</v>
          </cell>
          <cell r="D1227" t="str">
            <v xml:space="preserve">  </v>
          </cell>
          <cell r="E1227" t="str">
            <v xml:space="preserve">    </v>
          </cell>
          <cell r="F1227" t="str">
            <v xml:space="preserve">   </v>
          </cell>
          <cell r="G1227">
            <v>41355</v>
          </cell>
          <cell r="H1227">
            <v>940961.28000000003</v>
          </cell>
          <cell r="I1227">
            <v>940961.28000000003</v>
          </cell>
          <cell r="J1227">
            <v>0</v>
          </cell>
          <cell r="K1227">
            <v>0</v>
          </cell>
          <cell r="L1227">
            <v>0</v>
          </cell>
        </row>
        <row r="1228">
          <cell r="A1228">
            <v>5</v>
          </cell>
          <cell r="B1228">
            <v>1</v>
          </cell>
          <cell r="C1228">
            <v>355</v>
          </cell>
          <cell r="D1228" t="str">
            <v xml:space="preserve">  </v>
          </cell>
          <cell r="E1228" t="str">
            <v xml:space="preserve">    </v>
          </cell>
          <cell r="F1228" t="str">
            <v xml:space="preserve">   </v>
          </cell>
          <cell r="G1228">
            <v>51355</v>
          </cell>
          <cell r="H1228">
            <v>940961.3</v>
          </cell>
          <cell r="I1228">
            <v>940961.3</v>
          </cell>
          <cell r="J1228">
            <v>0</v>
          </cell>
          <cell r="K1228">
            <v>0</v>
          </cell>
          <cell r="L1228">
            <v>0</v>
          </cell>
        </row>
        <row r="1229">
          <cell r="A1229">
            <v>3</v>
          </cell>
          <cell r="B1229">
            <v>1</v>
          </cell>
          <cell r="C1229">
            <v>356</v>
          </cell>
          <cell r="D1229" t="str">
            <v xml:space="preserve">  </v>
          </cell>
          <cell r="E1229" t="str">
            <v xml:space="preserve">    </v>
          </cell>
          <cell r="F1229" t="str">
            <v xml:space="preserve">   </v>
          </cell>
          <cell r="G1229">
            <v>31356</v>
          </cell>
          <cell r="H1229">
            <v>458570.06</v>
          </cell>
          <cell r="I1229">
            <v>458570.06</v>
          </cell>
          <cell r="J1229">
            <v>0</v>
          </cell>
          <cell r="K1229">
            <v>0</v>
          </cell>
          <cell r="L1229">
            <v>0</v>
          </cell>
        </row>
        <row r="1230">
          <cell r="A1230">
            <v>4</v>
          </cell>
          <cell r="B1230">
            <v>1</v>
          </cell>
          <cell r="C1230">
            <v>356</v>
          </cell>
          <cell r="D1230" t="str">
            <v xml:space="preserve">  </v>
          </cell>
          <cell r="E1230" t="str">
            <v xml:space="preserve">    </v>
          </cell>
          <cell r="F1230" t="str">
            <v xml:space="preserve">   </v>
          </cell>
          <cell r="G1230">
            <v>41356</v>
          </cell>
          <cell r="H1230">
            <v>458570.03</v>
          </cell>
          <cell r="I1230">
            <v>458570.03</v>
          </cell>
          <cell r="J1230">
            <v>0</v>
          </cell>
          <cell r="K1230">
            <v>0</v>
          </cell>
          <cell r="L1230">
            <v>0</v>
          </cell>
        </row>
        <row r="1231">
          <cell r="A1231">
            <v>5</v>
          </cell>
          <cell r="B1231">
            <v>1</v>
          </cell>
          <cell r="C1231">
            <v>356</v>
          </cell>
          <cell r="D1231" t="str">
            <v xml:space="preserve">  </v>
          </cell>
          <cell r="E1231" t="str">
            <v xml:space="preserve">    </v>
          </cell>
          <cell r="F1231" t="str">
            <v xml:space="preserve">   </v>
          </cell>
          <cell r="G1231">
            <v>51356</v>
          </cell>
          <cell r="H1231">
            <v>458570.06</v>
          </cell>
          <cell r="I1231">
            <v>458570.06</v>
          </cell>
          <cell r="J1231">
            <v>0</v>
          </cell>
          <cell r="K1231">
            <v>0</v>
          </cell>
          <cell r="L1231">
            <v>0</v>
          </cell>
        </row>
        <row r="1232">
          <cell r="A1232">
            <v>3</v>
          </cell>
          <cell r="B1232">
            <v>1</v>
          </cell>
          <cell r="C1232">
            <v>357</v>
          </cell>
          <cell r="D1232" t="str">
            <v xml:space="preserve">  </v>
          </cell>
          <cell r="E1232" t="str">
            <v xml:space="preserve">    </v>
          </cell>
          <cell r="F1232" t="str">
            <v xml:space="preserve">   </v>
          </cell>
          <cell r="G1232">
            <v>31357</v>
          </cell>
          <cell r="H1232">
            <v>1556989.95</v>
          </cell>
          <cell r="I1232">
            <v>1556989.95</v>
          </cell>
          <cell r="J1232">
            <v>0</v>
          </cell>
          <cell r="K1232">
            <v>0</v>
          </cell>
          <cell r="L1232">
            <v>0</v>
          </cell>
        </row>
        <row r="1233">
          <cell r="A1233">
            <v>4</v>
          </cell>
          <cell r="B1233">
            <v>1</v>
          </cell>
          <cell r="C1233">
            <v>357</v>
          </cell>
          <cell r="D1233" t="str">
            <v xml:space="preserve">  </v>
          </cell>
          <cell r="E1233" t="str">
            <v xml:space="preserve">    </v>
          </cell>
          <cell r="F1233" t="str">
            <v xml:space="preserve">   </v>
          </cell>
          <cell r="G1233">
            <v>41357</v>
          </cell>
          <cell r="H1233">
            <v>1552867.71</v>
          </cell>
          <cell r="I1233">
            <v>1552867.71</v>
          </cell>
          <cell r="J1233">
            <v>0</v>
          </cell>
          <cell r="K1233">
            <v>0</v>
          </cell>
          <cell r="L1233">
            <v>0</v>
          </cell>
        </row>
        <row r="1234">
          <cell r="A1234">
            <v>5</v>
          </cell>
          <cell r="B1234">
            <v>1</v>
          </cell>
          <cell r="C1234">
            <v>357</v>
          </cell>
          <cell r="D1234" t="str">
            <v xml:space="preserve">  </v>
          </cell>
          <cell r="E1234" t="str">
            <v xml:space="preserve">    </v>
          </cell>
          <cell r="F1234" t="str">
            <v xml:space="preserve">   </v>
          </cell>
          <cell r="G1234">
            <v>51357</v>
          </cell>
          <cell r="H1234">
            <v>1556989.94</v>
          </cell>
          <cell r="I1234">
            <v>1556989.94</v>
          </cell>
          <cell r="J1234">
            <v>0</v>
          </cell>
          <cell r="K1234">
            <v>0</v>
          </cell>
          <cell r="L1234">
            <v>0</v>
          </cell>
        </row>
        <row r="1235">
          <cell r="A1235">
            <v>3</v>
          </cell>
          <cell r="B1235">
            <v>1</v>
          </cell>
          <cell r="C1235">
            <v>374</v>
          </cell>
          <cell r="D1235" t="str">
            <v xml:space="preserve">  </v>
          </cell>
          <cell r="E1235" t="str">
            <v xml:space="preserve">    </v>
          </cell>
          <cell r="F1235" t="str">
            <v xml:space="preserve">   </v>
          </cell>
          <cell r="G1235">
            <v>31374</v>
          </cell>
          <cell r="H1235">
            <v>89676.28</v>
          </cell>
          <cell r="I1235">
            <v>0</v>
          </cell>
          <cell r="J1235">
            <v>59812.27</v>
          </cell>
          <cell r="K1235">
            <v>29864.01</v>
          </cell>
          <cell r="L1235">
            <v>0</v>
          </cell>
        </row>
        <row r="1236">
          <cell r="A1236">
            <v>4</v>
          </cell>
          <cell r="B1236">
            <v>1</v>
          </cell>
          <cell r="C1236">
            <v>374</v>
          </cell>
          <cell r="D1236" t="str">
            <v xml:space="preserve">  </v>
          </cell>
          <cell r="E1236" t="str">
            <v xml:space="preserve">    </v>
          </cell>
          <cell r="F1236" t="str">
            <v xml:space="preserve">   </v>
          </cell>
          <cell r="G1236">
            <v>41374</v>
          </cell>
          <cell r="H1236">
            <v>89738.49</v>
          </cell>
          <cell r="I1236">
            <v>0</v>
          </cell>
          <cell r="J1236">
            <v>59874.57</v>
          </cell>
          <cell r="K1236">
            <v>29863.919999999998</v>
          </cell>
          <cell r="L1236">
            <v>0</v>
          </cell>
        </row>
        <row r="1237">
          <cell r="A1237">
            <v>5</v>
          </cell>
          <cell r="B1237">
            <v>1</v>
          </cell>
          <cell r="C1237">
            <v>374</v>
          </cell>
          <cell r="D1237" t="str">
            <v xml:space="preserve">  </v>
          </cell>
          <cell r="E1237" t="str">
            <v xml:space="preserve">    </v>
          </cell>
          <cell r="F1237" t="str">
            <v xml:space="preserve">   </v>
          </cell>
          <cell r="G1237">
            <v>51374</v>
          </cell>
          <cell r="H1237">
            <v>89676.26</v>
          </cell>
          <cell r="I1237">
            <v>0</v>
          </cell>
          <cell r="J1237">
            <v>59812.26</v>
          </cell>
          <cell r="K1237">
            <v>29864</v>
          </cell>
          <cell r="L1237">
            <v>0</v>
          </cell>
        </row>
        <row r="1238">
          <cell r="A1238">
            <v>3</v>
          </cell>
          <cell r="B1238">
            <v>1</v>
          </cell>
          <cell r="C1238">
            <v>375</v>
          </cell>
          <cell r="D1238" t="str">
            <v xml:space="preserve">  </v>
          </cell>
          <cell r="E1238" t="str">
            <v xml:space="preserve">    </v>
          </cell>
          <cell r="F1238" t="str">
            <v xml:space="preserve">   </v>
          </cell>
          <cell r="G1238">
            <v>31375</v>
          </cell>
          <cell r="H1238">
            <v>321476.56</v>
          </cell>
          <cell r="I1238">
            <v>21450.12</v>
          </cell>
          <cell r="J1238">
            <v>210392.82</v>
          </cell>
          <cell r="K1238">
            <v>89633.62</v>
          </cell>
          <cell r="L1238">
            <v>0</v>
          </cell>
        </row>
        <row r="1239">
          <cell r="A1239">
            <v>4</v>
          </cell>
          <cell r="B1239">
            <v>1</v>
          </cell>
          <cell r="C1239">
            <v>375</v>
          </cell>
          <cell r="D1239" t="str">
            <v xml:space="preserve">  </v>
          </cell>
          <cell r="E1239" t="str">
            <v xml:space="preserve">    </v>
          </cell>
          <cell r="F1239" t="str">
            <v xml:space="preserve">   </v>
          </cell>
          <cell r="G1239">
            <v>41375</v>
          </cell>
          <cell r="H1239">
            <v>310461.21999999997</v>
          </cell>
          <cell r="I1239">
            <v>21450.11</v>
          </cell>
          <cell r="J1239">
            <v>202286.18</v>
          </cell>
          <cell r="K1239">
            <v>86724.93</v>
          </cell>
          <cell r="L1239">
            <v>0</v>
          </cell>
        </row>
        <row r="1240">
          <cell r="A1240">
            <v>5</v>
          </cell>
          <cell r="B1240">
            <v>1</v>
          </cell>
          <cell r="C1240">
            <v>375</v>
          </cell>
          <cell r="D1240" t="str">
            <v xml:space="preserve">  </v>
          </cell>
          <cell r="E1240" t="str">
            <v xml:space="preserve">    </v>
          </cell>
          <cell r="F1240" t="str">
            <v xml:space="preserve">   </v>
          </cell>
          <cell r="G1240">
            <v>51375</v>
          </cell>
          <cell r="H1240">
            <v>320480.53000000003</v>
          </cell>
          <cell r="I1240">
            <v>21450.12</v>
          </cell>
          <cell r="J1240">
            <v>209396.79</v>
          </cell>
          <cell r="K1240">
            <v>89633.62</v>
          </cell>
          <cell r="L1240">
            <v>0</v>
          </cell>
        </row>
        <row r="1241">
          <cell r="A1241">
            <v>3</v>
          </cell>
          <cell r="B1241">
            <v>1</v>
          </cell>
          <cell r="C1241">
            <v>376</v>
          </cell>
          <cell r="D1241" t="str">
            <v xml:space="preserve">  </v>
          </cell>
          <cell r="E1241" t="str">
            <v xml:space="preserve">    </v>
          </cell>
          <cell r="F1241" t="str">
            <v xml:space="preserve">   </v>
          </cell>
          <cell r="G1241">
            <v>31376</v>
          </cell>
          <cell r="H1241">
            <v>114801002</v>
          </cell>
          <cell r="I1241">
            <v>2541478.79</v>
          </cell>
          <cell r="J1241">
            <v>71679289.25</v>
          </cell>
          <cell r="K1241">
            <v>40580233.960000001</v>
          </cell>
          <cell r="L1241">
            <v>0</v>
          </cell>
        </row>
        <row r="1242">
          <cell r="A1242">
            <v>4</v>
          </cell>
          <cell r="B1242">
            <v>1</v>
          </cell>
          <cell r="C1242">
            <v>376</v>
          </cell>
          <cell r="D1242" t="str">
            <v xml:space="preserve">  </v>
          </cell>
          <cell r="E1242" t="str">
            <v xml:space="preserve">    </v>
          </cell>
          <cell r="F1242" t="str">
            <v xml:space="preserve">   </v>
          </cell>
          <cell r="G1242">
            <v>41376</v>
          </cell>
          <cell r="H1242">
            <v>111221251.42</v>
          </cell>
          <cell r="I1242">
            <v>2513727.33</v>
          </cell>
          <cell r="J1242">
            <v>69459328.969999999</v>
          </cell>
          <cell r="K1242">
            <v>39248195.130000003</v>
          </cell>
          <cell r="L1242">
            <v>0</v>
          </cell>
        </row>
        <row r="1243">
          <cell r="A1243">
            <v>5</v>
          </cell>
          <cell r="B1243">
            <v>1</v>
          </cell>
          <cell r="C1243">
            <v>376</v>
          </cell>
          <cell r="D1243" t="str">
            <v xml:space="preserve">  </v>
          </cell>
          <cell r="E1243" t="str">
            <v xml:space="preserve">    </v>
          </cell>
          <cell r="F1243" t="str">
            <v xml:space="preserve">   </v>
          </cell>
          <cell r="G1243">
            <v>51376</v>
          </cell>
          <cell r="H1243">
            <v>114501299.98</v>
          </cell>
          <cell r="I1243">
            <v>2526999.7799999998</v>
          </cell>
          <cell r="J1243">
            <v>71536348.599999994</v>
          </cell>
          <cell r="K1243">
            <v>40437951.600000001</v>
          </cell>
          <cell r="L1243">
            <v>0</v>
          </cell>
        </row>
        <row r="1244">
          <cell r="A1244">
            <v>3</v>
          </cell>
          <cell r="B1244">
            <v>1</v>
          </cell>
          <cell r="C1244">
            <v>378</v>
          </cell>
          <cell r="D1244" t="str">
            <v xml:space="preserve">  </v>
          </cell>
          <cell r="E1244" t="str">
            <v xml:space="preserve">    </v>
          </cell>
          <cell r="F1244" t="str">
            <v xml:space="preserve">   </v>
          </cell>
          <cell r="G1244">
            <v>31378</v>
          </cell>
          <cell r="H1244">
            <v>2020091.32</v>
          </cell>
          <cell r="I1244">
            <v>30703.37</v>
          </cell>
          <cell r="J1244">
            <v>1133890.72</v>
          </cell>
          <cell r="K1244">
            <v>855497.23</v>
          </cell>
          <cell r="L1244">
            <v>0</v>
          </cell>
        </row>
        <row r="1245">
          <cell r="A1245">
            <v>4</v>
          </cell>
          <cell r="B1245">
            <v>1</v>
          </cell>
          <cell r="C1245">
            <v>378</v>
          </cell>
          <cell r="D1245" t="str">
            <v xml:space="preserve">  </v>
          </cell>
          <cell r="E1245" t="str">
            <v xml:space="preserve">    </v>
          </cell>
          <cell r="F1245" t="str">
            <v xml:space="preserve">   </v>
          </cell>
          <cell r="G1245">
            <v>41378</v>
          </cell>
          <cell r="H1245">
            <v>1915604.52</v>
          </cell>
          <cell r="I1245">
            <v>30703.31</v>
          </cell>
          <cell r="J1245">
            <v>1042491.2</v>
          </cell>
          <cell r="K1245">
            <v>842410.01</v>
          </cell>
          <cell r="L1245">
            <v>0</v>
          </cell>
        </row>
        <row r="1246">
          <cell r="A1246">
            <v>5</v>
          </cell>
          <cell r="B1246">
            <v>1</v>
          </cell>
          <cell r="C1246">
            <v>378</v>
          </cell>
          <cell r="D1246" t="str">
            <v xml:space="preserve">  </v>
          </cell>
          <cell r="E1246" t="str">
            <v xml:space="preserve">    </v>
          </cell>
          <cell r="F1246" t="str">
            <v xml:space="preserve">   </v>
          </cell>
          <cell r="G1246">
            <v>51378</v>
          </cell>
          <cell r="H1246">
            <v>2013687.55</v>
          </cell>
          <cell r="I1246">
            <v>30703.360000000001</v>
          </cell>
          <cell r="J1246">
            <v>1130499.97</v>
          </cell>
          <cell r="K1246">
            <v>852484.22</v>
          </cell>
          <cell r="L1246">
            <v>0</v>
          </cell>
        </row>
        <row r="1247">
          <cell r="A1247">
            <v>3</v>
          </cell>
          <cell r="B1247">
            <v>1</v>
          </cell>
          <cell r="C1247">
            <v>379</v>
          </cell>
          <cell r="D1247" t="str">
            <v xml:space="preserve">  </v>
          </cell>
          <cell r="E1247" t="str">
            <v xml:space="preserve">    </v>
          </cell>
          <cell r="F1247" t="str">
            <v xml:space="preserve">   </v>
          </cell>
          <cell r="G1247">
            <v>31379</v>
          </cell>
          <cell r="H1247">
            <v>922453.29</v>
          </cell>
          <cell r="I1247">
            <v>38661.839999999997</v>
          </cell>
          <cell r="J1247">
            <v>399108.38</v>
          </cell>
          <cell r="K1247">
            <v>484683.07</v>
          </cell>
          <cell r="L1247">
            <v>0</v>
          </cell>
        </row>
        <row r="1248">
          <cell r="A1248">
            <v>4</v>
          </cell>
          <cell r="B1248">
            <v>1</v>
          </cell>
          <cell r="C1248">
            <v>379</v>
          </cell>
          <cell r="D1248" t="str">
            <v xml:space="preserve">  </v>
          </cell>
          <cell r="E1248" t="str">
            <v xml:space="preserve">    </v>
          </cell>
          <cell r="F1248" t="str">
            <v xml:space="preserve">   </v>
          </cell>
          <cell r="G1248">
            <v>41379</v>
          </cell>
          <cell r="H1248">
            <v>914152.16</v>
          </cell>
          <cell r="I1248">
            <v>38661.839999999997</v>
          </cell>
          <cell r="J1248">
            <v>401311.19</v>
          </cell>
          <cell r="K1248">
            <v>474179.13</v>
          </cell>
          <cell r="L1248">
            <v>0</v>
          </cell>
        </row>
        <row r="1249">
          <cell r="A1249">
            <v>5</v>
          </cell>
          <cell r="B1249">
            <v>1</v>
          </cell>
          <cell r="C1249">
            <v>379</v>
          </cell>
          <cell r="D1249" t="str">
            <v xml:space="preserve">  </v>
          </cell>
          <cell r="E1249" t="str">
            <v xml:space="preserve">    </v>
          </cell>
          <cell r="F1249" t="str">
            <v xml:space="preserve">   </v>
          </cell>
          <cell r="G1249">
            <v>51379</v>
          </cell>
          <cell r="H1249">
            <v>922453.28</v>
          </cell>
          <cell r="I1249">
            <v>38661.839999999997</v>
          </cell>
          <cell r="J1249">
            <v>399108.38</v>
          </cell>
          <cell r="K1249">
            <v>484683.06</v>
          </cell>
          <cell r="L1249">
            <v>0</v>
          </cell>
        </row>
        <row r="1250">
          <cell r="A1250">
            <v>3</v>
          </cell>
          <cell r="B1250">
            <v>1</v>
          </cell>
          <cell r="C1250">
            <v>380</v>
          </cell>
          <cell r="D1250" t="str">
            <v xml:space="preserve">  </v>
          </cell>
          <cell r="E1250" t="str">
            <v xml:space="preserve">    </v>
          </cell>
          <cell r="F1250" t="str">
            <v xml:space="preserve">   </v>
          </cell>
          <cell r="G1250">
            <v>31380</v>
          </cell>
          <cell r="H1250">
            <v>86758387.359999999</v>
          </cell>
          <cell r="I1250">
            <v>76.03</v>
          </cell>
          <cell r="J1250">
            <v>60557381.170000002</v>
          </cell>
          <cell r="K1250">
            <v>26200930.16</v>
          </cell>
          <cell r="L1250">
            <v>0</v>
          </cell>
        </row>
        <row r="1251">
          <cell r="A1251">
            <v>4</v>
          </cell>
          <cell r="B1251">
            <v>1</v>
          </cell>
          <cell r="C1251">
            <v>380</v>
          </cell>
          <cell r="D1251" t="str">
            <v xml:space="preserve">  </v>
          </cell>
          <cell r="E1251" t="str">
            <v xml:space="preserve">    </v>
          </cell>
          <cell r="F1251" t="str">
            <v xml:space="preserve">   </v>
          </cell>
          <cell r="G1251">
            <v>41380</v>
          </cell>
          <cell r="H1251">
            <v>84093125.230000004</v>
          </cell>
          <cell r="I1251">
            <v>305.27999999999997</v>
          </cell>
          <cell r="J1251">
            <v>59147945.439999998</v>
          </cell>
          <cell r="K1251">
            <v>24944874.52</v>
          </cell>
          <cell r="L1251">
            <v>0</v>
          </cell>
        </row>
        <row r="1252">
          <cell r="A1252">
            <v>5</v>
          </cell>
          <cell r="B1252">
            <v>1</v>
          </cell>
          <cell r="C1252">
            <v>380</v>
          </cell>
          <cell r="D1252" t="str">
            <v xml:space="preserve">  </v>
          </cell>
          <cell r="E1252" t="str">
            <v xml:space="preserve">    </v>
          </cell>
          <cell r="F1252" t="str">
            <v xml:space="preserve">   </v>
          </cell>
          <cell r="G1252">
            <v>51380</v>
          </cell>
          <cell r="H1252">
            <v>86555870.930000007</v>
          </cell>
          <cell r="I1252">
            <v>76.02</v>
          </cell>
          <cell r="J1252">
            <v>60605336.789999999</v>
          </cell>
          <cell r="K1252">
            <v>25950458.129999999</v>
          </cell>
          <cell r="L1252">
            <v>0</v>
          </cell>
        </row>
        <row r="1253">
          <cell r="A1253">
            <v>3</v>
          </cell>
          <cell r="B1253">
            <v>1</v>
          </cell>
          <cell r="C1253">
            <v>381</v>
          </cell>
          <cell r="D1253" t="str">
            <v xml:space="preserve">  </v>
          </cell>
          <cell r="E1253" t="str">
            <v xml:space="preserve">    </v>
          </cell>
          <cell r="F1253" t="str">
            <v xml:space="preserve">   </v>
          </cell>
          <cell r="G1253">
            <v>31381</v>
          </cell>
          <cell r="H1253">
            <v>17061953.260000002</v>
          </cell>
          <cell r="I1253">
            <v>745326.28</v>
          </cell>
          <cell r="J1253">
            <v>12367265.220000001</v>
          </cell>
          <cell r="K1253">
            <v>3949361.76</v>
          </cell>
          <cell r="L1253">
            <v>0</v>
          </cell>
        </row>
        <row r="1254">
          <cell r="A1254">
            <v>4</v>
          </cell>
          <cell r="B1254">
            <v>1</v>
          </cell>
          <cell r="C1254">
            <v>381</v>
          </cell>
          <cell r="D1254" t="str">
            <v xml:space="preserve">  </v>
          </cell>
          <cell r="E1254" t="str">
            <v xml:space="preserve">    </v>
          </cell>
          <cell r="F1254" t="str">
            <v xml:space="preserve">   </v>
          </cell>
          <cell r="G1254">
            <v>41381</v>
          </cell>
          <cell r="H1254">
            <v>16396256.43</v>
          </cell>
          <cell r="I1254">
            <v>567008.49</v>
          </cell>
          <cell r="J1254">
            <v>11989047.810000001</v>
          </cell>
          <cell r="K1254">
            <v>3840200.13</v>
          </cell>
          <cell r="L1254">
            <v>0</v>
          </cell>
        </row>
        <row r="1255">
          <cell r="A1255">
            <v>5</v>
          </cell>
          <cell r="B1255">
            <v>1</v>
          </cell>
          <cell r="C1255">
            <v>381</v>
          </cell>
          <cell r="D1255" t="str">
            <v xml:space="preserve">  </v>
          </cell>
          <cell r="E1255" t="str">
            <v xml:space="preserve">    </v>
          </cell>
          <cell r="F1255" t="str">
            <v xml:space="preserve">   </v>
          </cell>
          <cell r="G1255">
            <v>51381</v>
          </cell>
          <cell r="H1255">
            <v>17024666.969999999</v>
          </cell>
          <cell r="I1255">
            <v>735841.64</v>
          </cell>
          <cell r="J1255">
            <v>12350244.439999999</v>
          </cell>
          <cell r="K1255">
            <v>3938580.89</v>
          </cell>
          <cell r="L1255">
            <v>0</v>
          </cell>
        </row>
        <row r="1256">
          <cell r="A1256">
            <v>3</v>
          </cell>
          <cell r="B1256">
            <v>1</v>
          </cell>
          <cell r="C1256">
            <v>382</v>
          </cell>
          <cell r="D1256" t="str">
            <v xml:space="preserve">  </v>
          </cell>
          <cell r="E1256" t="str">
            <v xml:space="preserve">    </v>
          </cell>
          <cell r="F1256" t="str">
            <v xml:space="preserve">   </v>
          </cell>
          <cell r="G1256">
            <v>31382</v>
          </cell>
          <cell r="H1256">
            <v>4386838.3</v>
          </cell>
          <cell r="I1256">
            <v>0</v>
          </cell>
          <cell r="J1256">
            <v>3054497.92</v>
          </cell>
          <cell r="K1256">
            <v>1332340.3799999999</v>
          </cell>
          <cell r="L1256">
            <v>0</v>
          </cell>
        </row>
        <row r="1257">
          <cell r="A1257">
            <v>4</v>
          </cell>
          <cell r="B1257">
            <v>1</v>
          </cell>
          <cell r="C1257">
            <v>382</v>
          </cell>
          <cell r="D1257" t="str">
            <v xml:space="preserve">  </v>
          </cell>
          <cell r="E1257" t="str">
            <v xml:space="preserve">    </v>
          </cell>
          <cell r="F1257" t="str">
            <v xml:space="preserve">   </v>
          </cell>
          <cell r="G1257">
            <v>41382</v>
          </cell>
          <cell r="H1257">
            <v>4372486.03</v>
          </cell>
          <cell r="I1257">
            <v>0</v>
          </cell>
          <cell r="J1257">
            <v>3045914.88</v>
          </cell>
          <cell r="K1257">
            <v>1326571.1499999999</v>
          </cell>
          <cell r="L1257">
            <v>0</v>
          </cell>
        </row>
        <row r="1258">
          <cell r="A1258">
            <v>5</v>
          </cell>
          <cell r="B1258">
            <v>1</v>
          </cell>
          <cell r="C1258">
            <v>382</v>
          </cell>
          <cell r="D1258" t="str">
            <v xml:space="preserve">  </v>
          </cell>
          <cell r="E1258" t="str">
            <v xml:space="preserve">    </v>
          </cell>
          <cell r="F1258" t="str">
            <v xml:space="preserve">   </v>
          </cell>
          <cell r="G1258">
            <v>51382</v>
          </cell>
          <cell r="H1258">
            <v>4384335.63</v>
          </cell>
          <cell r="I1258">
            <v>0</v>
          </cell>
          <cell r="J1258">
            <v>3052644.55</v>
          </cell>
          <cell r="K1258">
            <v>1331691.08</v>
          </cell>
          <cell r="L1258">
            <v>0</v>
          </cell>
        </row>
        <row r="1259">
          <cell r="A1259">
            <v>3</v>
          </cell>
          <cell r="B1259">
            <v>1</v>
          </cell>
          <cell r="C1259">
            <v>383</v>
          </cell>
          <cell r="D1259" t="str">
            <v xml:space="preserve">  </v>
          </cell>
          <cell r="E1259" t="str">
            <v xml:space="preserve">    </v>
          </cell>
          <cell r="F1259" t="str">
            <v xml:space="preserve">   </v>
          </cell>
          <cell r="G1259">
            <v>31383</v>
          </cell>
          <cell r="H1259">
            <v>2014423.47</v>
          </cell>
          <cell r="I1259">
            <v>4896.71</v>
          </cell>
          <cell r="J1259">
            <v>1611962.33</v>
          </cell>
          <cell r="K1259">
            <v>397564.43</v>
          </cell>
          <cell r="L1259">
            <v>0</v>
          </cell>
        </row>
        <row r="1260">
          <cell r="A1260">
            <v>4</v>
          </cell>
          <cell r="B1260">
            <v>1</v>
          </cell>
          <cell r="C1260">
            <v>383</v>
          </cell>
          <cell r="D1260" t="str">
            <v xml:space="preserve">  </v>
          </cell>
          <cell r="E1260" t="str">
            <v xml:space="preserve">    </v>
          </cell>
          <cell r="F1260" t="str">
            <v xml:space="preserve">   </v>
          </cell>
          <cell r="G1260">
            <v>41383</v>
          </cell>
          <cell r="H1260">
            <v>2013699.95</v>
          </cell>
          <cell r="I1260">
            <v>4173.76</v>
          </cell>
          <cell r="J1260">
            <v>1611961.89</v>
          </cell>
          <cell r="K1260">
            <v>397564.3</v>
          </cell>
          <cell r="L1260">
            <v>0</v>
          </cell>
        </row>
        <row r="1261">
          <cell r="A1261">
            <v>5</v>
          </cell>
          <cell r="B1261">
            <v>1</v>
          </cell>
          <cell r="C1261">
            <v>383</v>
          </cell>
          <cell r="D1261" t="str">
            <v xml:space="preserve">  </v>
          </cell>
          <cell r="E1261" t="str">
            <v xml:space="preserve">    </v>
          </cell>
          <cell r="F1261" t="str">
            <v xml:space="preserve">   </v>
          </cell>
          <cell r="G1261">
            <v>51383</v>
          </cell>
          <cell r="H1261">
            <v>2014423.42</v>
          </cell>
          <cell r="I1261">
            <v>4896.7</v>
          </cell>
          <cell r="J1261">
            <v>1611962.3</v>
          </cell>
          <cell r="K1261">
            <v>397564.42</v>
          </cell>
          <cell r="L1261">
            <v>0</v>
          </cell>
        </row>
        <row r="1262">
          <cell r="A1262">
            <v>3</v>
          </cell>
          <cell r="B1262">
            <v>1</v>
          </cell>
          <cell r="C1262">
            <v>384</v>
          </cell>
          <cell r="D1262" t="str">
            <v xml:space="preserve">  </v>
          </cell>
          <cell r="E1262" t="str">
            <v xml:space="preserve">    </v>
          </cell>
          <cell r="F1262" t="str">
            <v xml:space="preserve">   </v>
          </cell>
          <cell r="G1262">
            <v>31384</v>
          </cell>
          <cell r="H1262">
            <v>411500.68</v>
          </cell>
          <cell r="I1262">
            <v>0</v>
          </cell>
          <cell r="J1262">
            <v>293436.76</v>
          </cell>
          <cell r="K1262">
            <v>118063.92</v>
          </cell>
          <cell r="L1262">
            <v>0</v>
          </cell>
        </row>
        <row r="1263">
          <cell r="A1263">
            <v>4</v>
          </cell>
          <cell r="B1263">
            <v>1</v>
          </cell>
          <cell r="C1263">
            <v>384</v>
          </cell>
          <cell r="D1263" t="str">
            <v xml:space="preserve">  </v>
          </cell>
          <cell r="E1263" t="str">
            <v xml:space="preserve">    </v>
          </cell>
          <cell r="F1263" t="str">
            <v xml:space="preserve">   </v>
          </cell>
          <cell r="G1263">
            <v>41384</v>
          </cell>
          <cell r="H1263">
            <v>407049.35</v>
          </cell>
          <cell r="I1263">
            <v>0</v>
          </cell>
          <cell r="J1263">
            <v>290266.28000000003</v>
          </cell>
          <cell r="K1263">
            <v>116783.07</v>
          </cell>
          <cell r="L1263">
            <v>0</v>
          </cell>
        </row>
        <row r="1264">
          <cell r="A1264">
            <v>5</v>
          </cell>
          <cell r="B1264">
            <v>1</v>
          </cell>
          <cell r="C1264">
            <v>384</v>
          </cell>
          <cell r="D1264" t="str">
            <v xml:space="preserve">  </v>
          </cell>
          <cell r="E1264" t="str">
            <v xml:space="preserve">    </v>
          </cell>
          <cell r="F1264" t="str">
            <v xml:space="preserve">   </v>
          </cell>
          <cell r="G1264">
            <v>51384</v>
          </cell>
          <cell r="H1264">
            <v>410458.65</v>
          </cell>
          <cell r="I1264">
            <v>0</v>
          </cell>
          <cell r="J1264">
            <v>292922.76</v>
          </cell>
          <cell r="K1264">
            <v>117535.89</v>
          </cell>
          <cell r="L1264">
            <v>0</v>
          </cell>
        </row>
        <row r="1265">
          <cell r="A1265">
            <v>3</v>
          </cell>
          <cell r="B1265">
            <v>1</v>
          </cell>
          <cell r="C1265">
            <v>385</v>
          </cell>
          <cell r="D1265" t="str">
            <v xml:space="preserve">  </v>
          </cell>
          <cell r="E1265" t="str">
            <v xml:space="preserve">    </v>
          </cell>
          <cell r="F1265" t="str">
            <v xml:space="preserve">   </v>
          </cell>
          <cell r="G1265">
            <v>31385</v>
          </cell>
          <cell r="H1265">
            <v>1106779.05</v>
          </cell>
          <cell r="I1265">
            <v>0</v>
          </cell>
          <cell r="J1265">
            <v>855494.85</v>
          </cell>
          <cell r="K1265">
            <v>251284.2</v>
          </cell>
          <cell r="L1265">
            <v>0</v>
          </cell>
        </row>
        <row r="1266">
          <cell r="A1266">
            <v>4</v>
          </cell>
          <cell r="B1266">
            <v>1</v>
          </cell>
          <cell r="C1266">
            <v>385</v>
          </cell>
          <cell r="D1266" t="str">
            <v xml:space="preserve">  </v>
          </cell>
          <cell r="E1266" t="str">
            <v xml:space="preserve">    </v>
          </cell>
          <cell r="F1266" t="str">
            <v xml:space="preserve">   </v>
          </cell>
          <cell r="G1266">
            <v>41385</v>
          </cell>
          <cell r="H1266">
            <v>1057165.4099999999</v>
          </cell>
          <cell r="I1266">
            <v>0</v>
          </cell>
          <cell r="J1266">
            <v>839453.19</v>
          </cell>
          <cell r="K1266">
            <v>217712.22</v>
          </cell>
          <cell r="L1266">
            <v>0</v>
          </cell>
        </row>
        <row r="1267">
          <cell r="A1267">
            <v>5</v>
          </cell>
          <cell r="B1267">
            <v>1</v>
          </cell>
          <cell r="C1267">
            <v>385</v>
          </cell>
          <cell r="D1267" t="str">
            <v xml:space="preserve">  </v>
          </cell>
          <cell r="E1267" t="str">
            <v xml:space="preserve">    </v>
          </cell>
          <cell r="F1267" t="str">
            <v xml:space="preserve">   </v>
          </cell>
          <cell r="G1267">
            <v>51385</v>
          </cell>
          <cell r="H1267">
            <v>1096949.1200000001</v>
          </cell>
          <cell r="I1267">
            <v>0</v>
          </cell>
          <cell r="J1267">
            <v>852145.66</v>
          </cell>
          <cell r="K1267">
            <v>244803.46</v>
          </cell>
          <cell r="L1267">
            <v>0</v>
          </cell>
        </row>
        <row r="1268">
          <cell r="A1268">
            <v>3</v>
          </cell>
          <cell r="B1268">
            <v>1</v>
          </cell>
          <cell r="C1268">
            <v>387</v>
          </cell>
          <cell r="D1268" t="str">
            <v xml:space="preserve">  </v>
          </cell>
          <cell r="E1268" t="str">
            <v xml:space="preserve">    </v>
          </cell>
          <cell r="F1268" t="str">
            <v xml:space="preserve">   </v>
          </cell>
          <cell r="G1268">
            <v>31387</v>
          </cell>
          <cell r="H1268">
            <v>-22.03</v>
          </cell>
          <cell r="I1268">
            <v>0</v>
          </cell>
          <cell r="J1268">
            <v>0</v>
          </cell>
          <cell r="K1268">
            <v>-22.03</v>
          </cell>
          <cell r="L1268">
            <v>0</v>
          </cell>
        </row>
        <row r="1269">
          <cell r="A1269">
            <v>4</v>
          </cell>
          <cell r="B1269">
            <v>1</v>
          </cell>
          <cell r="C1269">
            <v>387</v>
          </cell>
          <cell r="D1269" t="str">
            <v xml:space="preserve">  </v>
          </cell>
          <cell r="E1269" t="str">
            <v xml:space="preserve">    </v>
          </cell>
          <cell r="F1269" t="str">
            <v xml:space="preserve">   </v>
          </cell>
          <cell r="G1269">
            <v>41387</v>
          </cell>
          <cell r="H1269">
            <v>427.94</v>
          </cell>
          <cell r="I1269">
            <v>0</v>
          </cell>
          <cell r="J1269">
            <v>289.26</v>
          </cell>
          <cell r="K1269">
            <v>138.68</v>
          </cell>
          <cell r="L1269">
            <v>0</v>
          </cell>
        </row>
        <row r="1270">
          <cell r="A1270">
            <v>5</v>
          </cell>
          <cell r="B1270">
            <v>1</v>
          </cell>
          <cell r="C1270">
            <v>387</v>
          </cell>
          <cell r="D1270" t="str">
            <v xml:space="preserve">  </v>
          </cell>
          <cell r="E1270" t="str">
            <v xml:space="preserve">    </v>
          </cell>
          <cell r="F1270" t="str">
            <v xml:space="preserve">   </v>
          </cell>
          <cell r="G1270">
            <v>51387</v>
          </cell>
          <cell r="H1270">
            <v>-22</v>
          </cell>
          <cell r="I1270">
            <v>0</v>
          </cell>
          <cell r="J1270">
            <v>0</v>
          </cell>
          <cell r="K1270">
            <v>-22.02</v>
          </cell>
          <cell r="L1270">
            <v>0</v>
          </cell>
        </row>
        <row r="1271">
          <cell r="A1271">
            <v>3</v>
          </cell>
          <cell r="B1271">
            <v>1</v>
          </cell>
          <cell r="C1271">
            <v>390</v>
          </cell>
          <cell r="D1271" t="str">
            <v xml:space="preserve">  </v>
          </cell>
          <cell r="E1271" t="str">
            <v xml:space="preserve">    </v>
          </cell>
          <cell r="F1271" t="str">
            <v xml:space="preserve">   </v>
          </cell>
          <cell r="G1271">
            <v>31390</v>
          </cell>
          <cell r="H1271">
            <v>152910.93</v>
          </cell>
          <cell r="I1271">
            <v>140754.14000000001</v>
          </cell>
          <cell r="J1271">
            <v>0</v>
          </cell>
          <cell r="K1271">
            <v>12156.79</v>
          </cell>
          <cell r="L1271">
            <v>0</v>
          </cell>
        </row>
        <row r="1272">
          <cell r="A1272">
            <v>4</v>
          </cell>
          <cell r="B1272">
            <v>1</v>
          </cell>
          <cell r="C1272">
            <v>390</v>
          </cell>
          <cell r="D1272" t="str">
            <v xml:space="preserve">  </v>
          </cell>
          <cell r="E1272" t="str">
            <v xml:space="preserve">    </v>
          </cell>
          <cell r="F1272" t="str">
            <v xml:space="preserve">   </v>
          </cell>
          <cell r="G1272">
            <v>41390</v>
          </cell>
          <cell r="H1272">
            <v>152910.73000000001</v>
          </cell>
          <cell r="I1272">
            <v>140754.01999999999</v>
          </cell>
          <cell r="J1272">
            <v>0</v>
          </cell>
          <cell r="K1272">
            <v>12156.72</v>
          </cell>
          <cell r="L1272">
            <v>0</v>
          </cell>
        </row>
        <row r="1273">
          <cell r="A1273">
            <v>5</v>
          </cell>
          <cell r="B1273">
            <v>1</v>
          </cell>
          <cell r="C1273">
            <v>390</v>
          </cell>
          <cell r="D1273" t="str">
            <v xml:space="preserve">  </v>
          </cell>
          <cell r="E1273" t="str">
            <v xml:space="preserve">    </v>
          </cell>
          <cell r="F1273" t="str">
            <v xml:space="preserve">   </v>
          </cell>
          <cell r="G1273">
            <v>51390</v>
          </cell>
          <cell r="H1273">
            <v>152910.93</v>
          </cell>
          <cell r="I1273">
            <v>140754.14000000001</v>
          </cell>
          <cell r="J1273">
            <v>0</v>
          </cell>
          <cell r="K1273">
            <v>12156.79</v>
          </cell>
          <cell r="L1273">
            <v>0</v>
          </cell>
        </row>
        <row r="1274">
          <cell r="A1274">
            <v>3</v>
          </cell>
          <cell r="B1274">
            <v>1</v>
          </cell>
          <cell r="C1274">
            <v>392</v>
          </cell>
          <cell r="D1274" t="str">
            <v xml:space="preserve">  </v>
          </cell>
          <cell r="E1274" t="str">
            <v xml:space="preserve">    </v>
          </cell>
          <cell r="F1274" t="str">
            <v xml:space="preserve">   </v>
          </cell>
          <cell r="G1274">
            <v>31392</v>
          </cell>
          <cell r="H1274">
            <v>1973766.88</v>
          </cell>
          <cell r="I1274">
            <v>355973.02</v>
          </cell>
          <cell r="J1274">
            <v>1244142.1399999999</v>
          </cell>
          <cell r="K1274">
            <v>373651.72</v>
          </cell>
          <cell r="L1274">
            <v>0</v>
          </cell>
        </row>
        <row r="1275">
          <cell r="A1275">
            <v>4</v>
          </cell>
          <cell r="B1275">
            <v>1</v>
          </cell>
          <cell r="C1275">
            <v>392</v>
          </cell>
          <cell r="D1275" t="str">
            <v xml:space="preserve">  </v>
          </cell>
          <cell r="E1275" t="str">
            <v xml:space="preserve">    </v>
          </cell>
          <cell r="F1275" t="str">
            <v xml:space="preserve">   </v>
          </cell>
          <cell r="G1275">
            <v>41392</v>
          </cell>
          <cell r="H1275">
            <v>1951009.77</v>
          </cell>
          <cell r="I1275">
            <v>335166.34999999998</v>
          </cell>
          <cell r="J1275">
            <v>1244142.1200000001</v>
          </cell>
          <cell r="K1275">
            <v>371701.35</v>
          </cell>
          <cell r="L1275">
            <v>0</v>
          </cell>
        </row>
        <row r="1276">
          <cell r="A1276">
            <v>5</v>
          </cell>
          <cell r="B1276">
            <v>1</v>
          </cell>
          <cell r="C1276">
            <v>392</v>
          </cell>
          <cell r="D1276" t="str">
            <v xml:space="preserve">  </v>
          </cell>
          <cell r="E1276" t="str">
            <v xml:space="preserve">    </v>
          </cell>
          <cell r="F1276" t="str">
            <v xml:space="preserve">   </v>
          </cell>
          <cell r="G1276">
            <v>51392</v>
          </cell>
          <cell r="H1276">
            <v>1972931.63</v>
          </cell>
          <cell r="I1276">
            <v>355137.79</v>
          </cell>
          <cell r="J1276">
            <v>1244142.1399999999</v>
          </cell>
          <cell r="K1276">
            <v>373651.72</v>
          </cell>
          <cell r="L1276">
            <v>0</v>
          </cell>
        </row>
        <row r="1277">
          <cell r="A1277">
            <v>3</v>
          </cell>
          <cell r="B1277">
            <v>1</v>
          </cell>
          <cell r="C1277">
            <v>393</v>
          </cell>
          <cell r="D1277" t="str">
            <v xml:space="preserve">  </v>
          </cell>
          <cell r="E1277" t="str">
            <v xml:space="preserve">    </v>
          </cell>
          <cell r="F1277" t="str">
            <v xml:space="preserve">   </v>
          </cell>
          <cell r="G1277">
            <v>31393</v>
          </cell>
          <cell r="H1277">
            <v>23687.64</v>
          </cell>
          <cell r="I1277">
            <v>0</v>
          </cell>
          <cell r="J1277">
            <v>23687.64</v>
          </cell>
          <cell r="K1277">
            <v>0</v>
          </cell>
          <cell r="L1277">
            <v>0</v>
          </cell>
        </row>
        <row r="1278">
          <cell r="A1278">
            <v>4</v>
          </cell>
          <cell r="B1278">
            <v>1</v>
          </cell>
          <cell r="C1278">
            <v>393</v>
          </cell>
          <cell r="D1278" t="str">
            <v xml:space="preserve">  </v>
          </cell>
          <cell r="E1278" t="str">
            <v xml:space="preserve">    </v>
          </cell>
          <cell r="F1278" t="str">
            <v xml:space="preserve">   </v>
          </cell>
          <cell r="G1278">
            <v>41393</v>
          </cell>
          <cell r="H1278">
            <v>23687.63</v>
          </cell>
          <cell r="I1278">
            <v>0</v>
          </cell>
          <cell r="J1278">
            <v>23687.63</v>
          </cell>
          <cell r="K1278">
            <v>0</v>
          </cell>
          <cell r="L1278">
            <v>0</v>
          </cell>
        </row>
        <row r="1279">
          <cell r="A1279">
            <v>5</v>
          </cell>
          <cell r="B1279">
            <v>1</v>
          </cell>
          <cell r="C1279">
            <v>393</v>
          </cell>
          <cell r="D1279" t="str">
            <v xml:space="preserve">  </v>
          </cell>
          <cell r="E1279" t="str">
            <v xml:space="preserve">    </v>
          </cell>
          <cell r="F1279" t="str">
            <v xml:space="preserve">   </v>
          </cell>
          <cell r="G1279">
            <v>51393</v>
          </cell>
          <cell r="H1279">
            <v>23687.64</v>
          </cell>
          <cell r="I1279">
            <v>0</v>
          </cell>
          <cell r="J1279">
            <v>23687.64</v>
          </cell>
          <cell r="K1279">
            <v>0</v>
          </cell>
          <cell r="L1279">
            <v>0</v>
          </cell>
        </row>
        <row r="1280">
          <cell r="A1280">
            <v>3</v>
          </cell>
          <cell r="B1280">
            <v>1</v>
          </cell>
          <cell r="C1280">
            <v>394</v>
          </cell>
          <cell r="D1280" t="str">
            <v xml:space="preserve">  </v>
          </cell>
          <cell r="E1280" t="str">
            <v xml:space="preserve">    </v>
          </cell>
          <cell r="F1280" t="str">
            <v xml:space="preserve">   </v>
          </cell>
          <cell r="G1280">
            <v>31394</v>
          </cell>
          <cell r="H1280">
            <v>890735.08</v>
          </cell>
          <cell r="I1280">
            <v>160318.79999999999</v>
          </cell>
          <cell r="J1280">
            <v>523816.56</v>
          </cell>
          <cell r="K1280">
            <v>206599.72</v>
          </cell>
          <cell r="L1280">
            <v>0</v>
          </cell>
        </row>
        <row r="1281">
          <cell r="A1281">
            <v>4</v>
          </cell>
          <cell r="B1281">
            <v>1</v>
          </cell>
          <cell r="C1281">
            <v>394</v>
          </cell>
          <cell r="D1281" t="str">
            <v xml:space="preserve">  </v>
          </cell>
          <cell r="E1281" t="str">
            <v xml:space="preserve">    </v>
          </cell>
          <cell r="F1281" t="str">
            <v xml:space="preserve">   </v>
          </cell>
          <cell r="G1281">
            <v>41394</v>
          </cell>
          <cell r="H1281">
            <v>864008.99</v>
          </cell>
          <cell r="I1281">
            <v>154015.21</v>
          </cell>
          <cell r="J1281">
            <v>510914.08</v>
          </cell>
          <cell r="K1281">
            <v>199079.77</v>
          </cell>
          <cell r="L1281">
            <v>0</v>
          </cell>
        </row>
        <row r="1282">
          <cell r="A1282">
            <v>5</v>
          </cell>
          <cell r="B1282">
            <v>1</v>
          </cell>
          <cell r="C1282">
            <v>394</v>
          </cell>
          <cell r="D1282" t="str">
            <v xml:space="preserve">  </v>
          </cell>
          <cell r="E1282" t="str">
            <v xml:space="preserve">    </v>
          </cell>
          <cell r="F1282" t="str">
            <v xml:space="preserve">   </v>
          </cell>
          <cell r="G1282">
            <v>51394</v>
          </cell>
          <cell r="H1282">
            <v>890735.07</v>
          </cell>
          <cell r="I1282">
            <v>160318.79999999999</v>
          </cell>
          <cell r="J1282">
            <v>523816.55</v>
          </cell>
          <cell r="K1282">
            <v>206599.72</v>
          </cell>
          <cell r="L1282">
            <v>0</v>
          </cell>
        </row>
        <row r="1283">
          <cell r="A1283">
            <v>3</v>
          </cell>
          <cell r="B1283">
            <v>1</v>
          </cell>
          <cell r="C1283">
            <v>395</v>
          </cell>
          <cell r="D1283" t="str">
            <v xml:space="preserve">  </v>
          </cell>
          <cell r="E1283" t="str">
            <v xml:space="preserve">    </v>
          </cell>
          <cell r="F1283" t="str">
            <v xml:space="preserve">   </v>
          </cell>
          <cell r="G1283">
            <v>31395</v>
          </cell>
          <cell r="H1283">
            <v>435110.63</v>
          </cell>
          <cell r="I1283">
            <v>242938.42</v>
          </cell>
          <cell r="J1283">
            <v>143809.10999999999</v>
          </cell>
          <cell r="K1283">
            <v>48363.1</v>
          </cell>
          <cell r="L1283">
            <v>0</v>
          </cell>
        </row>
        <row r="1284">
          <cell r="A1284">
            <v>4</v>
          </cell>
          <cell r="B1284">
            <v>1</v>
          </cell>
          <cell r="C1284">
            <v>395</v>
          </cell>
          <cell r="D1284" t="str">
            <v xml:space="preserve">  </v>
          </cell>
          <cell r="E1284" t="str">
            <v xml:space="preserve">    </v>
          </cell>
          <cell r="F1284" t="str">
            <v xml:space="preserve">   </v>
          </cell>
          <cell r="G1284">
            <v>41395</v>
          </cell>
          <cell r="H1284">
            <v>428551.05</v>
          </cell>
          <cell r="I1284">
            <v>241721.12</v>
          </cell>
          <cell r="J1284">
            <v>139442.56</v>
          </cell>
          <cell r="K1284">
            <v>47387.39</v>
          </cell>
          <cell r="L1284">
            <v>0</v>
          </cell>
        </row>
        <row r="1285">
          <cell r="A1285">
            <v>5</v>
          </cell>
          <cell r="B1285">
            <v>1</v>
          </cell>
          <cell r="C1285">
            <v>395</v>
          </cell>
          <cell r="D1285" t="str">
            <v xml:space="preserve">  </v>
          </cell>
          <cell r="E1285" t="str">
            <v xml:space="preserve">    </v>
          </cell>
          <cell r="F1285" t="str">
            <v xml:space="preserve">   </v>
          </cell>
          <cell r="G1285">
            <v>51395</v>
          </cell>
          <cell r="H1285">
            <v>435110.61</v>
          </cell>
          <cell r="I1285">
            <v>242938.41</v>
          </cell>
          <cell r="J1285">
            <v>143809.10999999999</v>
          </cell>
          <cell r="K1285">
            <v>48363.1</v>
          </cell>
          <cell r="L1285">
            <v>0</v>
          </cell>
        </row>
        <row r="1286">
          <cell r="A1286">
            <v>3</v>
          </cell>
          <cell r="B1286">
            <v>1</v>
          </cell>
          <cell r="C1286">
            <v>396</v>
          </cell>
          <cell r="D1286" t="str">
            <v xml:space="preserve">  </v>
          </cell>
          <cell r="E1286" t="str">
            <v xml:space="preserve">    </v>
          </cell>
          <cell r="F1286" t="str">
            <v xml:space="preserve">   </v>
          </cell>
          <cell r="G1286">
            <v>31396</v>
          </cell>
          <cell r="H1286">
            <v>2056287.53</v>
          </cell>
          <cell r="I1286">
            <v>381633.09</v>
          </cell>
          <cell r="J1286">
            <v>1270600.27</v>
          </cell>
          <cell r="K1286">
            <v>404054.17</v>
          </cell>
          <cell r="L1286">
            <v>0</v>
          </cell>
        </row>
        <row r="1287">
          <cell r="A1287">
            <v>4</v>
          </cell>
          <cell r="B1287">
            <v>1</v>
          </cell>
          <cell r="C1287">
            <v>396</v>
          </cell>
          <cell r="D1287" t="str">
            <v xml:space="preserve">  </v>
          </cell>
          <cell r="E1287" t="str">
            <v xml:space="preserve">    </v>
          </cell>
          <cell r="F1287" t="str">
            <v xml:space="preserve">   </v>
          </cell>
          <cell r="G1287">
            <v>41396</v>
          </cell>
          <cell r="H1287">
            <v>2056287.22</v>
          </cell>
          <cell r="I1287">
            <v>381633</v>
          </cell>
          <cell r="J1287">
            <v>1270600.21</v>
          </cell>
          <cell r="K1287">
            <v>404054.04</v>
          </cell>
          <cell r="L1287">
            <v>0</v>
          </cell>
        </row>
        <row r="1288">
          <cell r="A1288">
            <v>5</v>
          </cell>
          <cell r="B1288">
            <v>1</v>
          </cell>
          <cell r="C1288">
            <v>396</v>
          </cell>
          <cell r="D1288" t="str">
            <v xml:space="preserve">  </v>
          </cell>
          <cell r="E1288" t="str">
            <v xml:space="preserve">    </v>
          </cell>
          <cell r="F1288" t="str">
            <v xml:space="preserve">   </v>
          </cell>
          <cell r="G1288">
            <v>51396</v>
          </cell>
          <cell r="H1288">
            <v>2056287.51</v>
          </cell>
          <cell r="I1288">
            <v>381633.08</v>
          </cell>
          <cell r="J1288">
            <v>1270600.27</v>
          </cell>
          <cell r="K1288">
            <v>404054.16</v>
          </cell>
          <cell r="L1288">
            <v>0</v>
          </cell>
        </row>
        <row r="1289">
          <cell r="A1289">
            <v>3</v>
          </cell>
          <cell r="B1289">
            <v>1</v>
          </cell>
          <cell r="C1289">
            <v>397</v>
          </cell>
          <cell r="D1289" t="str">
            <v xml:space="preserve">  </v>
          </cell>
          <cell r="E1289" t="str">
            <v xml:space="preserve">    </v>
          </cell>
          <cell r="F1289" t="str">
            <v xml:space="preserve">   </v>
          </cell>
          <cell r="G1289">
            <v>31397</v>
          </cell>
          <cell r="H1289">
            <v>549507.91</v>
          </cell>
          <cell r="I1289">
            <v>2918.77</v>
          </cell>
          <cell r="J1289">
            <v>279240.43</v>
          </cell>
          <cell r="K1289">
            <v>267348.71000000002</v>
          </cell>
          <cell r="L1289">
            <v>0</v>
          </cell>
        </row>
        <row r="1290">
          <cell r="A1290">
            <v>4</v>
          </cell>
          <cell r="B1290">
            <v>1</v>
          </cell>
          <cell r="C1290">
            <v>397</v>
          </cell>
          <cell r="D1290" t="str">
            <v xml:space="preserve">  </v>
          </cell>
          <cell r="E1290" t="str">
            <v xml:space="preserve">    </v>
          </cell>
          <cell r="F1290" t="str">
            <v xml:space="preserve">   </v>
          </cell>
          <cell r="G1290">
            <v>41397</v>
          </cell>
          <cell r="H1290">
            <v>545693.53</v>
          </cell>
          <cell r="I1290">
            <v>2918.46</v>
          </cell>
          <cell r="J1290">
            <v>280264</v>
          </cell>
          <cell r="K1290">
            <v>262511.18</v>
          </cell>
          <cell r="L1290">
            <v>0</v>
          </cell>
        </row>
        <row r="1291">
          <cell r="A1291">
            <v>5</v>
          </cell>
          <cell r="B1291">
            <v>1</v>
          </cell>
          <cell r="C1291">
            <v>397</v>
          </cell>
          <cell r="D1291" t="str">
            <v xml:space="preserve">  </v>
          </cell>
          <cell r="E1291" t="str">
            <v xml:space="preserve">    </v>
          </cell>
          <cell r="F1291" t="str">
            <v xml:space="preserve">   </v>
          </cell>
          <cell r="G1291">
            <v>51397</v>
          </cell>
          <cell r="H1291">
            <v>550542.06000000006</v>
          </cell>
          <cell r="I1291">
            <v>2918.77</v>
          </cell>
          <cell r="J1291">
            <v>280274.65999999997</v>
          </cell>
          <cell r="K1291">
            <v>267348.68</v>
          </cell>
          <cell r="L1291">
            <v>0</v>
          </cell>
        </row>
        <row r="1292">
          <cell r="A1292">
            <v>3</v>
          </cell>
          <cell r="B1292">
            <v>1</v>
          </cell>
          <cell r="C1292">
            <v>398</v>
          </cell>
          <cell r="D1292" t="str">
            <v xml:space="preserve">  </v>
          </cell>
          <cell r="E1292" t="str">
            <v xml:space="preserve">    </v>
          </cell>
          <cell r="F1292" t="str">
            <v xml:space="preserve">   </v>
          </cell>
          <cell r="G1292">
            <v>31398</v>
          </cell>
          <cell r="H1292">
            <v>31332</v>
          </cell>
          <cell r="I1292">
            <v>31332</v>
          </cell>
          <cell r="J1292">
            <v>0</v>
          </cell>
          <cell r="K1292">
            <v>0</v>
          </cell>
          <cell r="L1292">
            <v>0</v>
          </cell>
        </row>
        <row r="1293">
          <cell r="A1293">
            <v>4</v>
          </cell>
          <cell r="B1293">
            <v>1</v>
          </cell>
          <cell r="C1293">
            <v>398</v>
          </cell>
          <cell r="D1293" t="str">
            <v xml:space="preserve">  </v>
          </cell>
          <cell r="E1293" t="str">
            <v xml:space="preserve">    </v>
          </cell>
          <cell r="F1293" t="str">
            <v xml:space="preserve">   </v>
          </cell>
          <cell r="G1293">
            <v>41398</v>
          </cell>
          <cell r="H1293">
            <v>31331.759999999998</v>
          </cell>
          <cell r="I1293">
            <v>31332</v>
          </cell>
          <cell r="J1293">
            <v>0</v>
          </cell>
          <cell r="K1293">
            <v>0</v>
          </cell>
          <cell r="L1293">
            <v>0</v>
          </cell>
        </row>
        <row r="1294">
          <cell r="A1294">
            <v>5</v>
          </cell>
          <cell r="B1294">
            <v>1</v>
          </cell>
          <cell r="C1294">
            <v>398</v>
          </cell>
          <cell r="D1294" t="str">
            <v xml:space="preserve">  </v>
          </cell>
          <cell r="E1294" t="str">
            <v xml:space="preserve">    </v>
          </cell>
          <cell r="F1294" t="str">
            <v xml:space="preserve">   </v>
          </cell>
          <cell r="G1294">
            <v>51398</v>
          </cell>
          <cell r="H1294">
            <v>31331.99</v>
          </cell>
          <cell r="I1294">
            <v>31332</v>
          </cell>
          <cell r="J1294">
            <v>0</v>
          </cell>
          <cell r="K1294">
            <v>0</v>
          </cell>
          <cell r="L1294">
            <v>0</v>
          </cell>
        </row>
        <row r="1295">
          <cell r="A1295">
            <v>3</v>
          </cell>
          <cell r="B1295">
            <v>2</v>
          </cell>
          <cell r="C1295">
            <v>301</v>
          </cell>
          <cell r="D1295" t="str">
            <v xml:space="preserve">  </v>
          </cell>
          <cell r="E1295" t="str">
            <v xml:space="preserve">    </v>
          </cell>
          <cell r="F1295" t="str">
            <v xml:space="preserve">   </v>
          </cell>
          <cell r="G1295">
            <v>32301</v>
          </cell>
          <cell r="H1295">
            <v>19227.400000000001</v>
          </cell>
          <cell r="I1295">
            <v>0</v>
          </cell>
          <cell r="J1295">
            <v>2889.75</v>
          </cell>
          <cell r="K1295">
            <v>16337.65</v>
          </cell>
          <cell r="L1295">
            <v>0</v>
          </cell>
        </row>
        <row r="1296">
          <cell r="A1296">
            <v>4</v>
          </cell>
          <cell r="B1296">
            <v>2</v>
          </cell>
          <cell r="C1296">
            <v>301</v>
          </cell>
          <cell r="D1296" t="str">
            <v xml:space="preserve">  </v>
          </cell>
          <cell r="E1296" t="str">
            <v xml:space="preserve">    </v>
          </cell>
          <cell r="F1296" t="str">
            <v xml:space="preserve">   </v>
          </cell>
          <cell r="G1296">
            <v>42301</v>
          </cell>
          <cell r="H1296">
            <v>19227.34</v>
          </cell>
          <cell r="I1296">
            <v>0</v>
          </cell>
          <cell r="J1296">
            <v>2889.71</v>
          </cell>
          <cell r="K1296">
            <v>16337.63</v>
          </cell>
          <cell r="L1296">
            <v>0</v>
          </cell>
        </row>
        <row r="1297">
          <cell r="A1297">
            <v>5</v>
          </cell>
          <cell r="B1297">
            <v>2</v>
          </cell>
          <cell r="C1297">
            <v>301</v>
          </cell>
          <cell r="D1297" t="str">
            <v xml:space="preserve">  </v>
          </cell>
          <cell r="E1297" t="str">
            <v xml:space="preserve">    </v>
          </cell>
          <cell r="F1297" t="str">
            <v xml:space="preserve">   </v>
          </cell>
          <cell r="G1297">
            <v>52301</v>
          </cell>
          <cell r="H1297">
            <v>19227.38</v>
          </cell>
          <cell r="I1297">
            <v>0</v>
          </cell>
          <cell r="J1297">
            <v>2889.74</v>
          </cell>
          <cell r="K1297">
            <v>16337.64</v>
          </cell>
          <cell r="L1297">
            <v>0</v>
          </cell>
        </row>
        <row r="1298">
          <cell r="A1298">
            <v>3</v>
          </cell>
          <cell r="B1298">
            <v>2</v>
          </cell>
          <cell r="C1298">
            <v>302</v>
          </cell>
          <cell r="D1298" t="str">
            <v xml:space="preserve">  </v>
          </cell>
          <cell r="E1298" t="str">
            <v xml:space="preserve">    </v>
          </cell>
          <cell r="F1298" t="str">
            <v xml:space="preserve">   </v>
          </cell>
          <cell r="G1298">
            <v>32302</v>
          </cell>
          <cell r="H1298">
            <v>1592.55</v>
          </cell>
          <cell r="I1298">
            <v>0</v>
          </cell>
          <cell r="J1298">
            <v>0</v>
          </cell>
          <cell r="K1298">
            <v>1592.55</v>
          </cell>
          <cell r="L1298">
            <v>0</v>
          </cell>
        </row>
        <row r="1299">
          <cell r="A1299">
            <v>4</v>
          </cell>
          <cell r="B1299">
            <v>2</v>
          </cell>
          <cell r="C1299">
            <v>302</v>
          </cell>
          <cell r="D1299" t="str">
            <v xml:space="preserve">  </v>
          </cell>
          <cell r="E1299" t="str">
            <v xml:space="preserve">    </v>
          </cell>
          <cell r="F1299" t="str">
            <v xml:space="preserve">   </v>
          </cell>
          <cell r="G1299">
            <v>42302</v>
          </cell>
          <cell r="H1299">
            <v>1592.51</v>
          </cell>
          <cell r="I1299">
            <v>0</v>
          </cell>
          <cell r="J1299">
            <v>0</v>
          </cell>
          <cell r="K1299">
            <v>1592.51</v>
          </cell>
          <cell r="L1299">
            <v>0</v>
          </cell>
        </row>
        <row r="1300">
          <cell r="A1300">
            <v>5</v>
          </cell>
          <cell r="B1300">
            <v>2</v>
          </cell>
          <cell r="C1300">
            <v>302</v>
          </cell>
          <cell r="D1300" t="str">
            <v xml:space="preserve">  </v>
          </cell>
          <cell r="E1300" t="str">
            <v xml:space="preserve">    </v>
          </cell>
          <cell r="F1300" t="str">
            <v xml:space="preserve">   </v>
          </cell>
          <cell r="G1300">
            <v>52302</v>
          </cell>
          <cell r="H1300">
            <v>1592.54</v>
          </cell>
          <cell r="I1300">
            <v>0</v>
          </cell>
          <cell r="J1300">
            <v>0</v>
          </cell>
          <cell r="K1300">
            <v>1592.54</v>
          </cell>
          <cell r="L1300">
            <v>0</v>
          </cell>
        </row>
        <row r="1301">
          <cell r="A1301">
            <v>3</v>
          </cell>
          <cell r="B1301">
            <v>2</v>
          </cell>
          <cell r="C1301">
            <v>304</v>
          </cell>
          <cell r="D1301" t="str">
            <v xml:space="preserve">  </v>
          </cell>
          <cell r="E1301" t="str">
            <v xml:space="preserve">    </v>
          </cell>
          <cell r="F1301" t="str">
            <v xml:space="preserve">   </v>
          </cell>
          <cell r="G1301">
            <v>32304</v>
          </cell>
          <cell r="H1301">
            <v>7628.34</v>
          </cell>
          <cell r="I1301">
            <v>0</v>
          </cell>
          <cell r="J1301">
            <v>7628.34</v>
          </cell>
          <cell r="K1301">
            <v>0</v>
          </cell>
          <cell r="L1301">
            <v>0</v>
          </cell>
        </row>
        <row r="1302">
          <cell r="A1302">
            <v>4</v>
          </cell>
          <cell r="B1302">
            <v>2</v>
          </cell>
          <cell r="C1302">
            <v>304</v>
          </cell>
          <cell r="D1302" t="str">
            <v xml:space="preserve">  </v>
          </cell>
          <cell r="E1302" t="str">
            <v xml:space="preserve">    </v>
          </cell>
          <cell r="F1302" t="str">
            <v xml:space="preserve">   </v>
          </cell>
          <cell r="G1302">
            <v>42304</v>
          </cell>
          <cell r="H1302">
            <v>7628.27</v>
          </cell>
          <cell r="I1302">
            <v>0</v>
          </cell>
          <cell r="J1302">
            <v>7628.27</v>
          </cell>
          <cell r="K1302">
            <v>0</v>
          </cell>
          <cell r="L1302">
            <v>0</v>
          </cell>
        </row>
        <row r="1303">
          <cell r="A1303">
            <v>5</v>
          </cell>
          <cell r="B1303">
            <v>2</v>
          </cell>
          <cell r="C1303">
            <v>304</v>
          </cell>
          <cell r="D1303" t="str">
            <v xml:space="preserve">  </v>
          </cell>
          <cell r="E1303" t="str">
            <v xml:space="preserve">    </v>
          </cell>
          <cell r="F1303" t="str">
            <v xml:space="preserve">   </v>
          </cell>
          <cell r="G1303">
            <v>52304</v>
          </cell>
          <cell r="H1303">
            <v>7628.34</v>
          </cell>
          <cell r="I1303">
            <v>0</v>
          </cell>
          <cell r="J1303">
            <v>7628.34</v>
          </cell>
          <cell r="K1303">
            <v>0</v>
          </cell>
          <cell r="L1303">
            <v>0</v>
          </cell>
        </row>
        <row r="1304">
          <cell r="A1304">
            <v>3</v>
          </cell>
          <cell r="B1304">
            <v>2</v>
          </cell>
          <cell r="C1304">
            <v>305</v>
          </cell>
          <cell r="D1304" t="str">
            <v xml:space="preserve">  </v>
          </cell>
          <cell r="E1304" t="str">
            <v xml:space="preserve">    </v>
          </cell>
          <cell r="F1304" t="str">
            <v xml:space="preserve">   </v>
          </cell>
          <cell r="G1304">
            <v>32305</v>
          </cell>
          <cell r="H1304">
            <v>67428.210000000006</v>
          </cell>
          <cell r="I1304">
            <v>0</v>
          </cell>
          <cell r="J1304">
            <v>67428.210000000006</v>
          </cell>
          <cell r="K1304">
            <v>0</v>
          </cell>
          <cell r="L1304">
            <v>0</v>
          </cell>
        </row>
        <row r="1305">
          <cell r="A1305">
            <v>4</v>
          </cell>
          <cell r="B1305">
            <v>2</v>
          </cell>
          <cell r="C1305">
            <v>305</v>
          </cell>
          <cell r="D1305" t="str">
            <v xml:space="preserve">  </v>
          </cell>
          <cell r="E1305" t="str">
            <v xml:space="preserve">    </v>
          </cell>
          <cell r="F1305" t="str">
            <v xml:space="preserve">   </v>
          </cell>
          <cell r="G1305">
            <v>42305</v>
          </cell>
          <cell r="H1305">
            <v>67428.11</v>
          </cell>
          <cell r="I1305">
            <v>0</v>
          </cell>
          <cell r="J1305">
            <v>67428.11</v>
          </cell>
          <cell r="K1305">
            <v>0</v>
          </cell>
          <cell r="L1305">
            <v>0</v>
          </cell>
        </row>
        <row r="1306">
          <cell r="A1306">
            <v>5</v>
          </cell>
          <cell r="B1306">
            <v>2</v>
          </cell>
          <cell r="C1306">
            <v>305</v>
          </cell>
          <cell r="D1306" t="str">
            <v xml:space="preserve">  </v>
          </cell>
          <cell r="E1306" t="str">
            <v xml:space="preserve">    </v>
          </cell>
          <cell r="F1306" t="str">
            <v xml:space="preserve">   </v>
          </cell>
          <cell r="G1306">
            <v>52305</v>
          </cell>
          <cell r="H1306">
            <v>67428.2</v>
          </cell>
          <cell r="I1306">
            <v>0</v>
          </cell>
          <cell r="J1306">
            <v>67428.2</v>
          </cell>
          <cell r="K1306">
            <v>0</v>
          </cell>
          <cell r="L1306">
            <v>0</v>
          </cell>
        </row>
        <row r="1307">
          <cell r="A1307">
            <v>3</v>
          </cell>
          <cell r="B1307">
            <v>2</v>
          </cell>
          <cell r="C1307">
            <v>311</v>
          </cell>
          <cell r="D1307" t="str">
            <v xml:space="preserve">  </v>
          </cell>
          <cell r="E1307" t="str">
            <v xml:space="preserve">    </v>
          </cell>
          <cell r="F1307" t="str">
            <v xml:space="preserve">   </v>
          </cell>
          <cell r="G1307">
            <v>32311</v>
          </cell>
          <cell r="H1307">
            <v>130189.09</v>
          </cell>
          <cell r="I1307">
            <v>0</v>
          </cell>
          <cell r="J1307">
            <v>130189.09</v>
          </cell>
          <cell r="K1307">
            <v>0</v>
          </cell>
          <cell r="L1307">
            <v>0</v>
          </cell>
        </row>
        <row r="1308">
          <cell r="A1308">
            <v>4</v>
          </cell>
          <cell r="B1308">
            <v>2</v>
          </cell>
          <cell r="C1308">
            <v>311</v>
          </cell>
          <cell r="D1308" t="str">
            <v xml:space="preserve">  </v>
          </cell>
          <cell r="E1308" t="str">
            <v xml:space="preserve">    </v>
          </cell>
          <cell r="F1308" t="str">
            <v xml:space="preserve">   </v>
          </cell>
          <cell r="G1308">
            <v>42311</v>
          </cell>
          <cell r="H1308">
            <v>130189.07</v>
          </cell>
          <cell r="I1308">
            <v>0</v>
          </cell>
          <cell r="J1308">
            <v>130189.07</v>
          </cell>
          <cell r="K1308">
            <v>0</v>
          </cell>
          <cell r="L1308">
            <v>0</v>
          </cell>
        </row>
        <row r="1309">
          <cell r="A1309">
            <v>5</v>
          </cell>
          <cell r="B1309">
            <v>2</v>
          </cell>
          <cell r="C1309">
            <v>311</v>
          </cell>
          <cell r="D1309" t="str">
            <v xml:space="preserve">  </v>
          </cell>
          <cell r="E1309" t="str">
            <v xml:space="preserve">    </v>
          </cell>
          <cell r="F1309" t="str">
            <v xml:space="preserve">   </v>
          </cell>
          <cell r="G1309">
            <v>52311</v>
          </cell>
          <cell r="H1309">
            <v>130189.08</v>
          </cell>
          <cell r="I1309">
            <v>0</v>
          </cell>
          <cell r="J1309">
            <v>130189.08</v>
          </cell>
          <cell r="K1309">
            <v>0</v>
          </cell>
          <cell r="L1309">
            <v>0</v>
          </cell>
        </row>
        <row r="1310">
          <cell r="A1310">
            <v>3</v>
          </cell>
          <cell r="B1310">
            <v>2</v>
          </cell>
          <cell r="C1310">
            <v>365</v>
          </cell>
          <cell r="D1310" t="str">
            <v xml:space="preserve">  </v>
          </cell>
          <cell r="E1310" t="str">
            <v xml:space="preserve">    </v>
          </cell>
          <cell r="F1310" t="str">
            <v xml:space="preserve">   </v>
          </cell>
          <cell r="G1310">
            <v>32365</v>
          </cell>
          <cell r="H1310">
            <v>57750.78</v>
          </cell>
          <cell r="I1310">
            <v>0</v>
          </cell>
          <cell r="J1310">
            <v>57750.78</v>
          </cell>
          <cell r="K1310">
            <v>0</v>
          </cell>
          <cell r="L1310">
            <v>0</v>
          </cell>
        </row>
        <row r="1311">
          <cell r="A1311">
            <v>4</v>
          </cell>
          <cell r="B1311">
            <v>2</v>
          </cell>
          <cell r="C1311">
            <v>365</v>
          </cell>
          <cell r="D1311" t="str">
            <v xml:space="preserve">  </v>
          </cell>
          <cell r="E1311" t="str">
            <v xml:space="preserve">    </v>
          </cell>
          <cell r="F1311" t="str">
            <v xml:space="preserve">   </v>
          </cell>
          <cell r="G1311">
            <v>42365</v>
          </cell>
          <cell r="H1311">
            <v>57750.720000000001</v>
          </cell>
          <cell r="I1311">
            <v>0</v>
          </cell>
          <cell r="J1311">
            <v>57750.720000000001</v>
          </cell>
          <cell r="K1311">
            <v>0</v>
          </cell>
          <cell r="L1311">
            <v>0</v>
          </cell>
        </row>
        <row r="1312">
          <cell r="A1312">
            <v>5</v>
          </cell>
          <cell r="B1312">
            <v>2</v>
          </cell>
          <cell r="C1312">
            <v>365</v>
          </cell>
          <cell r="D1312" t="str">
            <v xml:space="preserve">  </v>
          </cell>
          <cell r="E1312" t="str">
            <v xml:space="preserve">    </v>
          </cell>
          <cell r="F1312" t="str">
            <v xml:space="preserve">   </v>
          </cell>
          <cell r="G1312">
            <v>52365</v>
          </cell>
          <cell r="H1312">
            <v>57750.76</v>
          </cell>
          <cell r="I1312">
            <v>0</v>
          </cell>
          <cell r="J1312">
            <v>57750.76</v>
          </cell>
          <cell r="K1312">
            <v>0</v>
          </cell>
          <cell r="L1312">
            <v>0</v>
          </cell>
        </row>
        <row r="1313">
          <cell r="A1313">
            <v>3</v>
          </cell>
          <cell r="B1313">
            <v>2</v>
          </cell>
          <cell r="C1313">
            <v>366</v>
          </cell>
          <cell r="D1313" t="str">
            <v xml:space="preserve">  </v>
          </cell>
          <cell r="E1313" t="str">
            <v xml:space="preserve">    </v>
          </cell>
          <cell r="F1313" t="str">
            <v xml:space="preserve">   </v>
          </cell>
          <cell r="G1313">
            <v>32366</v>
          </cell>
          <cell r="H1313">
            <v>16031.87</v>
          </cell>
          <cell r="I1313">
            <v>0</v>
          </cell>
          <cell r="J1313">
            <v>16031.87</v>
          </cell>
          <cell r="K1313">
            <v>0</v>
          </cell>
          <cell r="L1313">
            <v>0</v>
          </cell>
        </row>
        <row r="1314">
          <cell r="A1314">
            <v>4</v>
          </cell>
          <cell r="B1314">
            <v>2</v>
          </cell>
          <cell r="C1314">
            <v>366</v>
          </cell>
          <cell r="D1314" t="str">
            <v xml:space="preserve">  </v>
          </cell>
          <cell r="E1314" t="str">
            <v xml:space="preserve">    </v>
          </cell>
          <cell r="F1314" t="str">
            <v xml:space="preserve">   </v>
          </cell>
          <cell r="G1314">
            <v>42366</v>
          </cell>
          <cell r="H1314">
            <v>16031.76</v>
          </cell>
          <cell r="I1314">
            <v>0</v>
          </cell>
          <cell r="J1314">
            <v>16031.76</v>
          </cell>
          <cell r="K1314">
            <v>0</v>
          </cell>
          <cell r="L1314">
            <v>0</v>
          </cell>
        </row>
        <row r="1315">
          <cell r="A1315">
            <v>5</v>
          </cell>
          <cell r="B1315">
            <v>2</v>
          </cell>
          <cell r="C1315">
            <v>366</v>
          </cell>
          <cell r="D1315" t="str">
            <v xml:space="preserve">  </v>
          </cell>
          <cell r="E1315" t="str">
            <v xml:space="preserve">    </v>
          </cell>
          <cell r="F1315" t="str">
            <v xml:space="preserve">   </v>
          </cell>
          <cell r="G1315">
            <v>52366</v>
          </cell>
          <cell r="H1315">
            <v>16031.86</v>
          </cell>
          <cell r="I1315">
            <v>0</v>
          </cell>
          <cell r="J1315">
            <v>16031.86</v>
          </cell>
          <cell r="K1315">
            <v>0</v>
          </cell>
          <cell r="L1315">
            <v>0</v>
          </cell>
        </row>
        <row r="1316">
          <cell r="A1316">
            <v>3</v>
          </cell>
          <cell r="B1316">
            <v>2</v>
          </cell>
          <cell r="C1316">
            <v>367</v>
          </cell>
          <cell r="D1316" t="str">
            <v xml:space="preserve">  </v>
          </cell>
          <cell r="E1316" t="str">
            <v xml:space="preserve">    </v>
          </cell>
          <cell r="F1316" t="str">
            <v xml:space="preserve">   </v>
          </cell>
          <cell r="G1316">
            <v>32367</v>
          </cell>
          <cell r="H1316">
            <v>2803743.33</v>
          </cell>
          <cell r="I1316">
            <v>0</v>
          </cell>
          <cell r="J1316">
            <v>2803743.33</v>
          </cell>
          <cell r="K1316">
            <v>0</v>
          </cell>
          <cell r="L1316">
            <v>0</v>
          </cell>
        </row>
        <row r="1317">
          <cell r="A1317">
            <v>4</v>
          </cell>
          <cell r="B1317">
            <v>2</v>
          </cell>
          <cell r="C1317">
            <v>367</v>
          </cell>
          <cell r="D1317" t="str">
            <v xml:space="preserve">  </v>
          </cell>
          <cell r="E1317" t="str">
            <v xml:space="preserve">    </v>
          </cell>
          <cell r="F1317" t="str">
            <v xml:space="preserve">   </v>
          </cell>
          <cell r="G1317">
            <v>42367</v>
          </cell>
          <cell r="H1317">
            <v>2803743.23</v>
          </cell>
          <cell r="I1317">
            <v>0</v>
          </cell>
          <cell r="J1317">
            <v>2803743.23</v>
          </cell>
          <cell r="K1317">
            <v>0</v>
          </cell>
          <cell r="L1317">
            <v>0</v>
          </cell>
        </row>
        <row r="1318">
          <cell r="A1318">
            <v>5</v>
          </cell>
          <cell r="B1318">
            <v>2</v>
          </cell>
          <cell r="C1318">
            <v>367</v>
          </cell>
          <cell r="D1318" t="str">
            <v xml:space="preserve">  </v>
          </cell>
          <cell r="E1318" t="str">
            <v xml:space="preserve">    </v>
          </cell>
          <cell r="F1318" t="str">
            <v xml:space="preserve">   </v>
          </cell>
          <cell r="G1318">
            <v>52367</v>
          </cell>
          <cell r="H1318">
            <v>2803743.32</v>
          </cell>
          <cell r="I1318">
            <v>0</v>
          </cell>
          <cell r="J1318">
            <v>2803743.32</v>
          </cell>
          <cell r="K1318">
            <v>0</v>
          </cell>
          <cell r="L1318">
            <v>0</v>
          </cell>
        </row>
        <row r="1319">
          <cell r="A1319">
            <v>3</v>
          </cell>
          <cell r="B1319">
            <v>2</v>
          </cell>
          <cell r="C1319">
            <v>369</v>
          </cell>
          <cell r="D1319" t="str">
            <v xml:space="preserve">  </v>
          </cell>
          <cell r="E1319" t="str">
            <v xml:space="preserve">    </v>
          </cell>
          <cell r="F1319" t="str">
            <v xml:space="preserve">   </v>
          </cell>
          <cell r="G1319">
            <v>32369</v>
          </cell>
          <cell r="H1319">
            <v>254892.94</v>
          </cell>
          <cell r="I1319">
            <v>0</v>
          </cell>
          <cell r="J1319">
            <v>239152.21</v>
          </cell>
          <cell r="K1319">
            <v>15740.73</v>
          </cell>
          <cell r="L1319">
            <v>0</v>
          </cell>
        </row>
        <row r="1320">
          <cell r="A1320">
            <v>4</v>
          </cell>
          <cell r="B1320">
            <v>2</v>
          </cell>
          <cell r="C1320">
            <v>369</v>
          </cell>
          <cell r="D1320" t="str">
            <v xml:space="preserve">  </v>
          </cell>
          <cell r="E1320" t="str">
            <v xml:space="preserve">    </v>
          </cell>
          <cell r="F1320" t="str">
            <v xml:space="preserve">   </v>
          </cell>
          <cell r="G1320">
            <v>42369</v>
          </cell>
          <cell r="H1320">
            <v>247922.75</v>
          </cell>
          <cell r="I1320">
            <v>0</v>
          </cell>
          <cell r="J1320">
            <v>232182.11</v>
          </cell>
          <cell r="K1320">
            <v>15740.64</v>
          </cell>
          <cell r="L1320">
            <v>0</v>
          </cell>
        </row>
        <row r="1321">
          <cell r="A1321">
            <v>5</v>
          </cell>
          <cell r="B1321">
            <v>2</v>
          </cell>
          <cell r="C1321">
            <v>369</v>
          </cell>
          <cell r="D1321" t="str">
            <v xml:space="preserve">  </v>
          </cell>
          <cell r="E1321" t="str">
            <v xml:space="preserve">    </v>
          </cell>
          <cell r="F1321" t="str">
            <v xml:space="preserve">   </v>
          </cell>
          <cell r="G1321">
            <v>52369</v>
          </cell>
          <cell r="H1321">
            <v>254892.92</v>
          </cell>
          <cell r="I1321">
            <v>0</v>
          </cell>
          <cell r="J1321">
            <v>239152.2</v>
          </cell>
          <cell r="K1321">
            <v>15740.72</v>
          </cell>
          <cell r="L1321">
            <v>0</v>
          </cell>
        </row>
        <row r="1322">
          <cell r="A1322">
            <v>3</v>
          </cell>
          <cell r="B1322">
            <v>2</v>
          </cell>
          <cell r="C1322">
            <v>370</v>
          </cell>
          <cell r="D1322" t="str">
            <v xml:space="preserve">  </v>
          </cell>
          <cell r="E1322" t="str">
            <v xml:space="preserve">    </v>
          </cell>
          <cell r="F1322" t="str">
            <v xml:space="preserve">   </v>
          </cell>
          <cell r="G1322">
            <v>32370</v>
          </cell>
          <cell r="H1322">
            <v>84876.21</v>
          </cell>
          <cell r="I1322">
            <v>0</v>
          </cell>
          <cell r="J1322">
            <v>77274.8</v>
          </cell>
          <cell r="K1322">
            <v>7601.41</v>
          </cell>
          <cell r="L1322">
            <v>0</v>
          </cell>
        </row>
        <row r="1323">
          <cell r="A1323">
            <v>4</v>
          </cell>
          <cell r="B1323">
            <v>2</v>
          </cell>
          <cell r="C1323">
            <v>370</v>
          </cell>
          <cell r="D1323" t="str">
            <v xml:space="preserve">  </v>
          </cell>
          <cell r="E1323" t="str">
            <v xml:space="preserve">    </v>
          </cell>
          <cell r="F1323" t="str">
            <v xml:space="preserve">   </v>
          </cell>
          <cell r="G1323">
            <v>42370</v>
          </cell>
          <cell r="H1323">
            <v>87566.14</v>
          </cell>
          <cell r="I1323">
            <v>0</v>
          </cell>
          <cell r="J1323">
            <v>79964.75</v>
          </cell>
          <cell r="K1323">
            <v>7601.39</v>
          </cell>
          <cell r="L1323">
            <v>0</v>
          </cell>
        </row>
        <row r="1324">
          <cell r="A1324">
            <v>5</v>
          </cell>
          <cell r="B1324">
            <v>2</v>
          </cell>
          <cell r="C1324">
            <v>370</v>
          </cell>
          <cell r="D1324" t="str">
            <v xml:space="preserve">  </v>
          </cell>
          <cell r="E1324" t="str">
            <v xml:space="preserve">    </v>
          </cell>
          <cell r="F1324" t="str">
            <v xml:space="preserve">   </v>
          </cell>
          <cell r="G1324">
            <v>52370</v>
          </cell>
          <cell r="H1324">
            <v>84876.2</v>
          </cell>
          <cell r="I1324">
            <v>0</v>
          </cell>
          <cell r="J1324">
            <v>77274.8</v>
          </cell>
          <cell r="K1324">
            <v>7601.4</v>
          </cell>
          <cell r="L1324">
            <v>0</v>
          </cell>
        </row>
        <row r="1325">
          <cell r="A1325">
            <v>3</v>
          </cell>
          <cell r="B1325">
            <v>2</v>
          </cell>
          <cell r="C1325">
            <v>374</v>
          </cell>
          <cell r="D1325" t="str">
            <v xml:space="preserve">  </v>
          </cell>
          <cell r="E1325" t="str">
            <v xml:space="preserve">    </v>
          </cell>
          <cell r="F1325" t="str">
            <v xml:space="preserve">   </v>
          </cell>
          <cell r="G1325">
            <v>32374</v>
          </cell>
          <cell r="H1325">
            <v>15239.63</v>
          </cell>
          <cell r="I1325">
            <v>0</v>
          </cell>
          <cell r="J1325">
            <v>15079.61</v>
          </cell>
          <cell r="K1325">
            <v>160.02000000000001</v>
          </cell>
          <cell r="L1325">
            <v>0</v>
          </cell>
        </row>
        <row r="1326">
          <cell r="A1326">
            <v>4</v>
          </cell>
          <cell r="B1326">
            <v>2</v>
          </cell>
          <cell r="C1326">
            <v>374</v>
          </cell>
          <cell r="D1326" t="str">
            <v xml:space="preserve">  </v>
          </cell>
          <cell r="E1326" t="str">
            <v xml:space="preserve">    </v>
          </cell>
          <cell r="F1326" t="str">
            <v xml:space="preserve">   </v>
          </cell>
          <cell r="G1326">
            <v>42374</v>
          </cell>
          <cell r="H1326">
            <v>15239.5</v>
          </cell>
          <cell r="I1326">
            <v>0</v>
          </cell>
          <cell r="J1326">
            <v>15079.55</v>
          </cell>
          <cell r="K1326">
            <v>159.94999999999999</v>
          </cell>
          <cell r="L1326">
            <v>0</v>
          </cell>
        </row>
        <row r="1327">
          <cell r="A1327">
            <v>5</v>
          </cell>
          <cell r="B1327">
            <v>2</v>
          </cell>
          <cell r="C1327">
            <v>374</v>
          </cell>
          <cell r="D1327" t="str">
            <v xml:space="preserve">  </v>
          </cell>
          <cell r="E1327" t="str">
            <v xml:space="preserve">    </v>
          </cell>
          <cell r="F1327" t="str">
            <v xml:space="preserve">   </v>
          </cell>
          <cell r="G1327">
            <v>52374</v>
          </cell>
          <cell r="H1327">
            <v>15239.62</v>
          </cell>
          <cell r="I1327">
            <v>0</v>
          </cell>
          <cell r="J1327">
            <v>15079.6</v>
          </cell>
          <cell r="K1327">
            <v>160.02000000000001</v>
          </cell>
          <cell r="L1327">
            <v>0</v>
          </cell>
        </row>
        <row r="1328">
          <cell r="A1328">
            <v>3</v>
          </cell>
          <cell r="B1328">
            <v>2</v>
          </cell>
          <cell r="C1328">
            <v>375</v>
          </cell>
          <cell r="D1328" t="str">
            <v xml:space="preserve">  </v>
          </cell>
          <cell r="E1328" t="str">
            <v xml:space="preserve">    </v>
          </cell>
          <cell r="F1328" t="str">
            <v xml:space="preserve">   </v>
          </cell>
          <cell r="G1328">
            <v>32375</v>
          </cell>
          <cell r="H1328">
            <v>106897.87</v>
          </cell>
          <cell r="I1328">
            <v>0</v>
          </cell>
          <cell r="J1328">
            <v>84687.72</v>
          </cell>
          <cell r="K1328">
            <v>22210.15</v>
          </cell>
          <cell r="L1328">
            <v>0</v>
          </cell>
        </row>
        <row r="1329">
          <cell r="A1329">
            <v>4</v>
          </cell>
          <cell r="B1329">
            <v>2</v>
          </cell>
          <cell r="C1329">
            <v>375</v>
          </cell>
          <cell r="D1329" t="str">
            <v xml:space="preserve">  </v>
          </cell>
          <cell r="E1329" t="str">
            <v xml:space="preserve">    </v>
          </cell>
          <cell r="F1329" t="str">
            <v xml:space="preserve">   </v>
          </cell>
          <cell r="G1329">
            <v>42375</v>
          </cell>
          <cell r="H1329">
            <v>106196.18</v>
          </cell>
          <cell r="I1329">
            <v>0</v>
          </cell>
          <cell r="J1329">
            <v>83986.1</v>
          </cell>
          <cell r="K1329">
            <v>22210.080000000002</v>
          </cell>
          <cell r="L1329">
            <v>0</v>
          </cell>
        </row>
        <row r="1330">
          <cell r="A1330">
            <v>5</v>
          </cell>
          <cell r="B1330">
            <v>2</v>
          </cell>
          <cell r="C1330">
            <v>375</v>
          </cell>
          <cell r="D1330" t="str">
            <v xml:space="preserve">  </v>
          </cell>
          <cell r="E1330" t="str">
            <v xml:space="preserve">    </v>
          </cell>
          <cell r="F1330" t="str">
            <v xml:space="preserve">   </v>
          </cell>
          <cell r="G1330">
            <v>52375</v>
          </cell>
          <cell r="H1330">
            <v>106531.84</v>
          </cell>
          <cell r="I1330">
            <v>0</v>
          </cell>
          <cell r="J1330">
            <v>84321.7</v>
          </cell>
          <cell r="K1330">
            <v>22210.14</v>
          </cell>
          <cell r="L1330">
            <v>0</v>
          </cell>
        </row>
        <row r="1331">
          <cell r="A1331">
            <v>3</v>
          </cell>
          <cell r="B1331">
            <v>2</v>
          </cell>
          <cell r="C1331">
            <v>376</v>
          </cell>
          <cell r="D1331" t="str">
            <v xml:space="preserve">  </v>
          </cell>
          <cell r="E1331" t="str">
            <v xml:space="preserve">    </v>
          </cell>
          <cell r="F1331" t="str">
            <v xml:space="preserve">   </v>
          </cell>
          <cell r="G1331">
            <v>32376</v>
          </cell>
          <cell r="H1331">
            <v>61587285.869999997</v>
          </cell>
          <cell r="I1331">
            <v>12530</v>
          </cell>
          <cell r="J1331">
            <v>51830800.630000003</v>
          </cell>
          <cell r="K1331">
            <v>9743955.2400000002</v>
          </cell>
          <cell r="L1331">
            <v>0</v>
          </cell>
        </row>
        <row r="1332">
          <cell r="A1332">
            <v>4</v>
          </cell>
          <cell r="B1332">
            <v>2</v>
          </cell>
          <cell r="C1332">
            <v>376</v>
          </cell>
          <cell r="D1332" t="str">
            <v xml:space="preserve">  </v>
          </cell>
          <cell r="E1332" t="str">
            <v xml:space="preserve">    </v>
          </cell>
          <cell r="F1332" t="str">
            <v xml:space="preserve">   </v>
          </cell>
          <cell r="G1332">
            <v>42376</v>
          </cell>
          <cell r="H1332">
            <v>60241586.100000001</v>
          </cell>
          <cell r="I1332">
            <v>522.08000000000004</v>
          </cell>
          <cell r="J1332">
            <v>50551149.5</v>
          </cell>
          <cell r="K1332">
            <v>9689914.5199999996</v>
          </cell>
          <cell r="L1332">
            <v>0</v>
          </cell>
        </row>
        <row r="1333">
          <cell r="A1333">
            <v>5</v>
          </cell>
          <cell r="B1333">
            <v>2</v>
          </cell>
          <cell r="C1333">
            <v>376</v>
          </cell>
          <cell r="D1333" t="str">
            <v xml:space="preserve">  </v>
          </cell>
          <cell r="E1333" t="str">
            <v xml:space="preserve">    </v>
          </cell>
          <cell r="F1333" t="str">
            <v xml:space="preserve">   </v>
          </cell>
          <cell r="G1333">
            <v>52376</v>
          </cell>
          <cell r="H1333">
            <v>61517126.920000002</v>
          </cell>
          <cell r="I1333">
            <v>6265</v>
          </cell>
          <cell r="J1333">
            <v>51767525.68</v>
          </cell>
          <cell r="K1333">
            <v>9743336.2400000002</v>
          </cell>
          <cell r="L1333">
            <v>0</v>
          </cell>
        </row>
        <row r="1334">
          <cell r="A1334">
            <v>3</v>
          </cell>
          <cell r="B1334">
            <v>2</v>
          </cell>
          <cell r="C1334">
            <v>378</v>
          </cell>
          <cell r="D1334" t="str">
            <v xml:space="preserve">  </v>
          </cell>
          <cell r="E1334" t="str">
            <v xml:space="preserve">    </v>
          </cell>
          <cell r="F1334" t="str">
            <v xml:space="preserve">   </v>
          </cell>
          <cell r="G1334">
            <v>32378</v>
          </cell>
          <cell r="H1334">
            <v>640683.65</v>
          </cell>
          <cell r="I1334">
            <v>0</v>
          </cell>
          <cell r="J1334">
            <v>583142.37</v>
          </cell>
          <cell r="K1334">
            <v>57541.279999999999</v>
          </cell>
          <cell r="L1334">
            <v>0</v>
          </cell>
        </row>
        <row r="1335">
          <cell r="A1335">
            <v>4</v>
          </cell>
          <cell r="B1335">
            <v>2</v>
          </cell>
          <cell r="C1335">
            <v>378</v>
          </cell>
          <cell r="D1335" t="str">
            <v xml:space="preserve">  </v>
          </cell>
          <cell r="E1335" t="str">
            <v xml:space="preserve">    </v>
          </cell>
          <cell r="F1335" t="str">
            <v xml:space="preserve">   </v>
          </cell>
          <cell r="G1335">
            <v>42378</v>
          </cell>
          <cell r="H1335">
            <v>628278.29</v>
          </cell>
          <cell r="I1335">
            <v>0</v>
          </cell>
          <cell r="J1335">
            <v>570737.09</v>
          </cell>
          <cell r="K1335">
            <v>57541.2</v>
          </cell>
          <cell r="L1335">
            <v>0</v>
          </cell>
        </row>
        <row r="1336">
          <cell r="A1336">
            <v>5</v>
          </cell>
          <cell r="B1336">
            <v>2</v>
          </cell>
          <cell r="C1336">
            <v>378</v>
          </cell>
          <cell r="D1336" t="str">
            <v xml:space="preserve">  </v>
          </cell>
          <cell r="E1336" t="str">
            <v xml:space="preserve">    </v>
          </cell>
          <cell r="F1336" t="str">
            <v xml:space="preserve">   </v>
          </cell>
          <cell r="G1336">
            <v>52378</v>
          </cell>
          <cell r="H1336">
            <v>639736.69999999995</v>
          </cell>
          <cell r="I1336">
            <v>0</v>
          </cell>
          <cell r="J1336">
            <v>582195.42000000004</v>
          </cell>
          <cell r="K1336">
            <v>57541.279999999999</v>
          </cell>
          <cell r="L1336">
            <v>0</v>
          </cell>
        </row>
        <row r="1337">
          <cell r="A1337">
            <v>3</v>
          </cell>
          <cell r="B1337">
            <v>2</v>
          </cell>
          <cell r="C1337">
            <v>379</v>
          </cell>
          <cell r="D1337" t="str">
            <v xml:space="preserve">  </v>
          </cell>
          <cell r="E1337" t="str">
            <v xml:space="preserve">    </v>
          </cell>
          <cell r="F1337" t="str">
            <v xml:space="preserve">   </v>
          </cell>
          <cell r="G1337">
            <v>32379</v>
          </cell>
          <cell r="H1337">
            <v>343970.77</v>
          </cell>
          <cell r="I1337">
            <v>0</v>
          </cell>
          <cell r="J1337">
            <v>336975.88</v>
          </cell>
          <cell r="K1337">
            <v>6994.89</v>
          </cell>
          <cell r="L1337">
            <v>0</v>
          </cell>
        </row>
        <row r="1338">
          <cell r="A1338">
            <v>4</v>
          </cell>
          <cell r="B1338">
            <v>2</v>
          </cell>
          <cell r="C1338">
            <v>379</v>
          </cell>
          <cell r="D1338" t="str">
            <v xml:space="preserve">  </v>
          </cell>
          <cell r="E1338" t="str">
            <v xml:space="preserve">    </v>
          </cell>
          <cell r="F1338" t="str">
            <v xml:space="preserve">   </v>
          </cell>
          <cell r="G1338">
            <v>42379</v>
          </cell>
          <cell r="H1338">
            <v>305667.81</v>
          </cell>
          <cell r="I1338">
            <v>0</v>
          </cell>
          <cell r="J1338">
            <v>298673.01</v>
          </cell>
          <cell r="K1338">
            <v>6994.8</v>
          </cell>
          <cell r="L1338">
            <v>0</v>
          </cell>
        </row>
        <row r="1339">
          <cell r="A1339">
            <v>5</v>
          </cell>
          <cell r="B1339">
            <v>2</v>
          </cell>
          <cell r="C1339">
            <v>379</v>
          </cell>
          <cell r="D1339" t="str">
            <v xml:space="preserve">  </v>
          </cell>
          <cell r="E1339" t="str">
            <v xml:space="preserve">    </v>
          </cell>
          <cell r="F1339" t="str">
            <v xml:space="preserve">   </v>
          </cell>
          <cell r="G1339">
            <v>52379</v>
          </cell>
          <cell r="H1339">
            <v>333629.46000000002</v>
          </cell>
          <cell r="I1339">
            <v>0</v>
          </cell>
          <cell r="J1339">
            <v>326634.58</v>
          </cell>
          <cell r="K1339">
            <v>6994.88</v>
          </cell>
          <cell r="L1339">
            <v>0</v>
          </cell>
        </row>
        <row r="1340">
          <cell r="A1340">
            <v>3</v>
          </cell>
          <cell r="B1340">
            <v>2</v>
          </cell>
          <cell r="C1340">
            <v>380</v>
          </cell>
          <cell r="D1340" t="str">
            <v xml:space="preserve">  </v>
          </cell>
          <cell r="E1340" t="str">
            <v xml:space="preserve">    </v>
          </cell>
          <cell r="F1340" t="str">
            <v xml:space="preserve">   </v>
          </cell>
          <cell r="G1340">
            <v>32380</v>
          </cell>
          <cell r="H1340">
            <v>42070040.920000002</v>
          </cell>
          <cell r="I1340">
            <v>0</v>
          </cell>
          <cell r="J1340">
            <v>35997520.170000002</v>
          </cell>
          <cell r="K1340">
            <v>6072520.75</v>
          </cell>
          <cell r="L1340">
            <v>0</v>
          </cell>
        </row>
        <row r="1341">
          <cell r="A1341">
            <v>4</v>
          </cell>
          <cell r="B1341">
            <v>2</v>
          </cell>
          <cell r="C1341">
            <v>380</v>
          </cell>
          <cell r="D1341" t="str">
            <v xml:space="preserve">  </v>
          </cell>
          <cell r="E1341" t="str">
            <v xml:space="preserve">    </v>
          </cell>
          <cell r="F1341" t="str">
            <v xml:space="preserve">   </v>
          </cell>
          <cell r="G1341">
            <v>42380</v>
          </cell>
          <cell r="H1341">
            <v>40664737.530000001</v>
          </cell>
          <cell r="I1341">
            <v>0</v>
          </cell>
          <cell r="J1341">
            <v>34717677.619999997</v>
          </cell>
          <cell r="K1341">
            <v>5947059.9100000001</v>
          </cell>
          <cell r="L1341">
            <v>0</v>
          </cell>
        </row>
        <row r="1342">
          <cell r="A1342">
            <v>5</v>
          </cell>
          <cell r="B1342">
            <v>2</v>
          </cell>
          <cell r="C1342">
            <v>380</v>
          </cell>
          <cell r="D1342" t="str">
            <v xml:space="preserve">  </v>
          </cell>
          <cell r="E1342" t="str">
            <v xml:space="preserve">    </v>
          </cell>
          <cell r="F1342" t="str">
            <v xml:space="preserve">   </v>
          </cell>
          <cell r="G1342">
            <v>52380</v>
          </cell>
          <cell r="H1342">
            <v>41944899.780000001</v>
          </cell>
          <cell r="I1342">
            <v>0</v>
          </cell>
          <cell r="J1342">
            <v>35877916.579999998</v>
          </cell>
          <cell r="K1342">
            <v>6066983.2000000002</v>
          </cell>
          <cell r="L1342">
            <v>0</v>
          </cell>
        </row>
        <row r="1343">
          <cell r="A1343">
            <v>3</v>
          </cell>
          <cell r="B1343">
            <v>2</v>
          </cell>
          <cell r="C1343">
            <v>381</v>
          </cell>
          <cell r="D1343" t="str">
            <v xml:space="preserve">  </v>
          </cell>
          <cell r="E1343" t="str">
            <v xml:space="preserve">    </v>
          </cell>
          <cell r="F1343" t="str">
            <v xml:space="preserve">   </v>
          </cell>
          <cell r="G1343">
            <v>32381</v>
          </cell>
          <cell r="H1343">
            <v>17226260.059999999</v>
          </cell>
          <cell r="I1343">
            <v>0</v>
          </cell>
          <cell r="J1343">
            <v>14847889.699999999</v>
          </cell>
          <cell r="K1343">
            <v>2378370.36</v>
          </cell>
          <cell r="L1343">
            <v>0</v>
          </cell>
        </row>
        <row r="1344">
          <cell r="A1344">
            <v>4</v>
          </cell>
          <cell r="B1344">
            <v>2</v>
          </cell>
          <cell r="C1344">
            <v>381</v>
          </cell>
          <cell r="D1344" t="str">
            <v xml:space="preserve">  </v>
          </cell>
          <cell r="E1344" t="str">
            <v xml:space="preserve">    </v>
          </cell>
          <cell r="F1344" t="str">
            <v xml:space="preserve">   </v>
          </cell>
          <cell r="G1344">
            <v>42381</v>
          </cell>
          <cell r="H1344">
            <v>16499561.84</v>
          </cell>
          <cell r="I1344">
            <v>0</v>
          </cell>
          <cell r="J1344">
            <v>14134913.390000001</v>
          </cell>
          <cell r="K1344">
            <v>2364648.4500000002</v>
          </cell>
          <cell r="L1344">
            <v>0</v>
          </cell>
        </row>
        <row r="1345">
          <cell r="A1345">
            <v>5</v>
          </cell>
          <cell r="B1345">
            <v>2</v>
          </cell>
          <cell r="C1345">
            <v>381</v>
          </cell>
          <cell r="D1345" t="str">
            <v xml:space="preserve">  </v>
          </cell>
          <cell r="E1345" t="str">
            <v xml:space="preserve">    </v>
          </cell>
          <cell r="F1345" t="str">
            <v xml:space="preserve">   </v>
          </cell>
          <cell r="G1345">
            <v>52381</v>
          </cell>
          <cell r="H1345">
            <v>17200852.699999999</v>
          </cell>
          <cell r="I1345">
            <v>0</v>
          </cell>
          <cell r="J1345">
            <v>14823464.1</v>
          </cell>
          <cell r="K1345">
            <v>2377388.6</v>
          </cell>
          <cell r="L1345">
            <v>0</v>
          </cell>
        </row>
        <row r="1346">
          <cell r="A1346">
            <v>3</v>
          </cell>
          <cell r="B1346">
            <v>2</v>
          </cell>
          <cell r="C1346">
            <v>385</v>
          </cell>
          <cell r="D1346" t="str">
            <v xml:space="preserve">  </v>
          </cell>
          <cell r="E1346" t="str">
            <v xml:space="preserve">    </v>
          </cell>
          <cell r="F1346" t="str">
            <v xml:space="preserve">   </v>
          </cell>
          <cell r="G1346">
            <v>32385</v>
          </cell>
          <cell r="H1346">
            <v>443151.77</v>
          </cell>
          <cell r="I1346">
            <v>0</v>
          </cell>
          <cell r="J1346">
            <v>442115.15</v>
          </cell>
          <cell r="K1346">
            <v>1036.6199999999999</v>
          </cell>
          <cell r="L1346">
            <v>0</v>
          </cell>
        </row>
        <row r="1347">
          <cell r="A1347">
            <v>4</v>
          </cell>
          <cell r="B1347">
            <v>2</v>
          </cell>
          <cell r="C1347">
            <v>385</v>
          </cell>
          <cell r="D1347" t="str">
            <v xml:space="preserve">  </v>
          </cell>
          <cell r="E1347" t="str">
            <v xml:space="preserve">    </v>
          </cell>
          <cell r="F1347" t="str">
            <v xml:space="preserve">   </v>
          </cell>
          <cell r="G1347">
            <v>42385</v>
          </cell>
          <cell r="H1347">
            <v>442415.15</v>
          </cell>
          <cell r="I1347">
            <v>0</v>
          </cell>
          <cell r="J1347">
            <v>441378.59</v>
          </cell>
          <cell r="K1347">
            <v>1036.56</v>
          </cell>
          <cell r="L1347">
            <v>0</v>
          </cell>
        </row>
        <row r="1348">
          <cell r="A1348">
            <v>5</v>
          </cell>
          <cell r="B1348">
            <v>2</v>
          </cell>
          <cell r="C1348">
            <v>385</v>
          </cell>
          <cell r="D1348" t="str">
            <v xml:space="preserve">  </v>
          </cell>
          <cell r="E1348" t="str">
            <v xml:space="preserve">    </v>
          </cell>
          <cell r="F1348" t="str">
            <v xml:space="preserve">   </v>
          </cell>
          <cell r="G1348">
            <v>52385</v>
          </cell>
          <cell r="H1348">
            <v>443151.76</v>
          </cell>
          <cell r="I1348">
            <v>0</v>
          </cell>
          <cell r="J1348">
            <v>442115.14</v>
          </cell>
          <cell r="K1348">
            <v>1036.6199999999999</v>
          </cell>
          <cell r="L1348">
            <v>0</v>
          </cell>
        </row>
        <row r="1349">
          <cell r="A1349">
            <v>3</v>
          </cell>
          <cell r="B1349">
            <v>2</v>
          </cell>
          <cell r="C1349">
            <v>387</v>
          </cell>
          <cell r="D1349" t="str">
            <v xml:space="preserve">  </v>
          </cell>
          <cell r="E1349" t="str">
            <v xml:space="preserve">    </v>
          </cell>
          <cell r="F1349" t="str">
            <v xml:space="preserve">   </v>
          </cell>
          <cell r="G1349">
            <v>32387</v>
          </cell>
          <cell r="H1349">
            <v>3973.68</v>
          </cell>
          <cell r="I1349">
            <v>0</v>
          </cell>
          <cell r="J1349">
            <v>2185.89</v>
          </cell>
          <cell r="K1349">
            <v>1787.79</v>
          </cell>
          <cell r="L1349">
            <v>0</v>
          </cell>
        </row>
        <row r="1350">
          <cell r="A1350">
            <v>4</v>
          </cell>
          <cell r="B1350">
            <v>2</v>
          </cell>
          <cell r="C1350">
            <v>387</v>
          </cell>
          <cell r="D1350" t="str">
            <v xml:space="preserve">  </v>
          </cell>
          <cell r="E1350" t="str">
            <v xml:space="preserve">    </v>
          </cell>
          <cell r="F1350" t="str">
            <v xml:space="preserve">   </v>
          </cell>
          <cell r="G1350">
            <v>42387</v>
          </cell>
          <cell r="H1350">
            <v>3973.55</v>
          </cell>
          <cell r="I1350">
            <v>0</v>
          </cell>
          <cell r="J1350">
            <v>2185.79</v>
          </cell>
          <cell r="K1350">
            <v>1787.76</v>
          </cell>
          <cell r="L1350">
            <v>0</v>
          </cell>
        </row>
        <row r="1351">
          <cell r="A1351">
            <v>5</v>
          </cell>
          <cell r="B1351">
            <v>2</v>
          </cell>
          <cell r="C1351">
            <v>387</v>
          </cell>
          <cell r="D1351" t="str">
            <v xml:space="preserve">  </v>
          </cell>
          <cell r="E1351" t="str">
            <v xml:space="preserve">    </v>
          </cell>
          <cell r="F1351" t="str">
            <v xml:space="preserve">   </v>
          </cell>
          <cell r="G1351">
            <v>52387</v>
          </cell>
          <cell r="H1351">
            <v>3973.66</v>
          </cell>
          <cell r="I1351">
            <v>0</v>
          </cell>
          <cell r="J1351">
            <v>2185.88</v>
          </cell>
          <cell r="K1351">
            <v>1787.78</v>
          </cell>
          <cell r="L1351">
            <v>0</v>
          </cell>
        </row>
        <row r="1352">
          <cell r="A1352">
            <v>3</v>
          </cell>
          <cell r="B1352">
            <v>2</v>
          </cell>
          <cell r="C1352">
            <v>389</v>
          </cell>
          <cell r="D1352" t="str">
            <v xml:space="preserve">  </v>
          </cell>
          <cell r="E1352" t="str">
            <v xml:space="preserve">    </v>
          </cell>
          <cell r="F1352" t="str">
            <v xml:space="preserve">   </v>
          </cell>
          <cell r="G1352">
            <v>32389</v>
          </cell>
          <cell r="H1352">
            <v>330820.93</v>
          </cell>
          <cell r="I1352">
            <v>253731.89</v>
          </cell>
          <cell r="J1352">
            <v>7952.44</v>
          </cell>
          <cell r="K1352">
            <v>69136.600000000006</v>
          </cell>
          <cell r="L1352">
            <v>0</v>
          </cell>
        </row>
        <row r="1353">
          <cell r="A1353">
            <v>4</v>
          </cell>
          <cell r="B1353">
            <v>2</v>
          </cell>
          <cell r="C1353">
            <v>389</v>
          </cell>
          <cell r="D1353" t="str">
            <v xml:space="preserve">  </v>
          </cell>
          <cell r="E1353" t="str">
            <v xml:space="preserve">    </v>
          </cell>
          <cell r="F1353" t="str">
            <v xml:space="preserve">   </v>
          </cell>
          <cell r="G1353">
            <v>42389</v>
          </cell>
          <cell r="H1353">
            <v>330820.07</v>
          </cell>
          <cell r="I1353">
            <v>253731.6</v>
          </cell>
          <cell r="J1353">
            <v>7952.2</v>
          </cell>
          <cell r="K1353">
            <v>69136.33</v>
          </cell>
          <cell r="L1353">
            <v>0</v>
          </cell>
        </row>
        <row r="1354">
          <cell r="A1354">
            <v>5</v>
          </cell>
          <cell r="B1354">
            <v>2</v>
          </cell>
          <cell r="C1354">
            <v>389</v>
          </cell>
          <cell r="D1354" t="str">
            <v xml:space="preserve">  </v>
          </cell>
          <cell r="E1354" t="str">
            <v xml:space="preserve">    </v>
          </cell>
          <cell r="F1354" t="str">
            <v xml:space="preserve">   </v>
          </cell>
          <cell r="G1354">
            <v>52389</v>
          </cell>
          <cell r="H1354">
            <v>330820.89</v>
          </cell>
          <cell r="I1354">
            <v>253731.88</v>
          </cell>
          <cell r="J1354">
            <v>7952.43</v>
          </cell>
          <cell r="K1354">
            <v>69136.600000000006</v>
          </cell>
          <cell r="L1354">
            <v>0</v>
          </cell>
        </row>
        <row r="1355">
          <cell r="A1355">
            <v>3</v>
          </cell>
          <cell r="B1355">
            <v>2</v>
          </cell>
          <cell r="C1355">
            <v>390</v>
          </cell>
          <cell r="D1355" t="str">
            <v xml:space="preserve">  </v>
          </cell>
          <cell r="E1355" t="str">
            <v xml:space="preserve">    </v>
          </cell>
          <cell r="F1355" t="str">
            <v xml:space="preserve">   </v>
          </cell>
          <cell r="G1355">
            <v>32390</v>
          </cell>
          <cell r="H1355">
            <v>1903516.33</v>
          </cell>
          <cell r="I1355">
            <v>1551024.9</v>
          </cell>
          <cell r="J1355">
            <v>180589.1</v>
          </cell>
          <cell r="K1355">
            <v>171902.33</v>
          </cell>
          <cell r="L1355">
            <v>0</v>
          </cell>
        </row>
        <row r="1356">
          <cell r="A1356">
            <v>4</v>
          </cell>
          <cell r="B1356">
            <v>2</v>
          </cell>
          <cell r="C1356">
            <v>390</v>
          </cell>
          <cell r="D1356" t="str">
            <v xml:space="preserve">  </v>
          </cell>
          <cell r="E1356" t="str">
            <v xml:space="preserve">    </v>
          </cell>
          <cell r="F1356" t="str">
            <v xml:space="preserve">   </v>
          </cell>
          <cell r="G1356">
            <v>42390</v>
          </cell>
          <cell r="H1356">
            <v>1903516.06</v>
          </cell>
          <cell r="I1356">
            <v>1551024.73</v>
          </cell>
          <cell r="J1356">
            <v>180589.07</v>
          </cell>
          <cell r="K1356">
            <v>171902.27</v>
          </cell>
          <cell r="L1356">
            <v>0</v>
          </cell>
        </row>
        <row r="1357">
          <cell r="A1357">
            <v>5</v>
          </cell>
          <cell r="B1357">
            <v>2</v>
          </cell>
          <cell r="C1357">
            <v>390</v>
          </cell>
          <cell r="D1357" t="str">
            <v xml:space="preserve">  </v>
          </cell>
          <cell r="E1357" t="str">
            <v xml:space="preserve">    </v>
          </cell>
          <cell r="F1357" t="str">
            <v xml:space="preserve">   </v>
          </cell>
          <cell r="G1357">
            <v>52390</v>
          </cell>
          <cell r="H1357">
            <v>1903516.32</v>
          </cell>
          <cell r="I1357">
            <v>1551024.9</v>
          </cell>
          <cell r="J1357">
            <v>180589.1</v>
          </cell>
          <cell r="K1357">
            <v>171902.32</v>
          </cell>
          <cell r="L1357">
            <v>0</v>
          </cell>
        </row>
        <row r="1358">
          <cell r="A1358">
            <v>3</v>
          </cell>
          <cell r="B1358">
            <v>2</v>
          </cell>
          <cell r="C1358">
            <v>391</v>
          </cell>
          <cell r="D1358" t="str">
            <v xml:space="preserve">  </v>
          </cell>
          <cell r="E1358" t="str">
            <v xml:space="preserve">    </v>
          </cell>
          <cell r="F1358" t="str">
            <v xml:space="preserve">   </v>
          </cell>
          <cell r="G1358">
            <v>32391</v>
          </cell>
          <cell r="H1358">
            <v>0</v>
          </cell>
          <cell r="I1358">
            <v>0</v>
          </cell>
          <cell r="J1358">
            <v>0</v>
          </cell>
          <cell r="K1358">
            <v>0</v>
          </cell>
          <cell r="L1358">
            <v>0</v>
          </cell>
        </row>
        <row r="1359">
          <cell r="A1359">
            <v>4</v>
          </cell>
          <cell r="B1359">
            <v>2</v>
          </cell>
          <cell r="C1359">
            <v>391</v>
          </cell>
          <cell r="D1359" t="str">
            <v xml:space="preserve">  </v>
          </cell>
          <cell r="E1359" t="str">
            <v xml:space="preserve">    </v>
          </cell>
          <cell r="F1359" t="str">
            <v xml:space="preserve">   </v>
          </cell>
          <cell r="G1359">
            <v>42391</v>
          </cell>
          <cell r="H1359">
            <v>4176.83</v>
          </cell>
          <cell r="I1359">
            <v>3663.25</v>
          </cell>
          <cell r="J1359">
            <v>513.72</v>
          </cell>
          <cell r="K1359">
            <v>0</v>
          </cell>
          <cell r="L1359">
            <v>0</v>
          </cell>
        </row>
        <row r="1360">
          <cell r="A1360">
            <v>5</v>
          </cell>
          <cell r="B1360">
            <v>2</v>
          </cell>
          <cell r="C1360">
            <v>391</v>
          </cell>
          <cell r="D1360" t="str">
            <v xml:space="preserve">  </v>
          </cell>
          <cell r="E1360" t="str">
            <v xml:space="preserve">    </v>
          </cell>
          <cell r="F1360" t="str">
            <v xml:space="preserve">   </v>
          </cell>
          <cell r="G1360">
            <v>52391</v>
          </cell>
          <cell r="H1360">
            <v>0</v>
          </cell>
          <cell r="I1360">
            <v>0</v>
          </cell>
          <cell r="J1360">
            <v>0</v>
          </cell>
          <cell r="K1360">
            <v>0</v>
          </cell>
          <cell r="L1360">
            <v>0</v>
          </cell>
        </row>
        <row r="1361">
          <cell r="A1361">
            <v>3</v>
          </cell>
          <cell r="B1361">
            <v>2</v>
          </cell>
          <cell r="C1361">
            <v>392</v>
          </cell>
          <cell r="D1361" t="str">
            <v xml:space="preserve">  </v>
          </cell>
          <cell r="E1361" t="str">
            <v xml:space="preserve">    </v>
          </cell>
          <cell r="F1361" t="str">
            <v xml:space="preserve">   </v>
          </cell>
          <cell r="G1361">
            <v>32392</v>
          </cell>
          <cell r="H1361">
            <v>1234584.43</v>
          </cell>
          <cell r="I1361">
            <v>8730.16</v>
          </cell>
          <cell r="J1361">
            <v>1099302.75</v>
          </cell>
          <cell r="K1361">
            <v>126551.52</v>
          </cell>
          <cell r="L1361">
            <v>0</v>
          </cell>
        </row>
        <row r="1362">
          <cell r="A1362">
            <v>4</v>
          </cell>
          <cell r="B1362">
            <v>2</v>
          </cell>
          <cell r="C1362">
            <v>392</v>
          </cell>
          <cell r="D1362" t="str">
            <v xml:space="preserve">  </v>
          </cell>
          <cell r="E1362" t="str">
            <v xml:space="preserve">    </v>
          </cell>
          <cell r="F1362" t="str">
            <v xml:space="preserve">   </v>
          </cell>
          <cell r="G1362">
            <v>42392</v>
          </cell>
          <cell r="H1362">
            <v>1131302.54</v>
          </cell>
          <cell r="I1362">
            <v>7638.75</v>
          </cell>
          <cell r="J1362">
            <v>1017349.81</v>
          </cell>
          <cell r="K1362">
            <v>106314</v>
          </cell>
          <cell r="L1362">
            <v>0</v>
          </cell>
        </row>
        <row r="1363">
          <cell r="A1363">
            <v>5</v>
          </cell>
          <cell r="B1363">
            <v>2</v>
          </cell>
          <cell r="C1363">
            <v>392</v>
          </cell>
          <cell r="D1363" t="str">
            <v xml:space="preserve">  </v>
          </cell>
          <cell r="E1363" t="str">
            <v xml:space="preserve">    </v>
          </cell>
          <cell r="F1363" t="str">
            <v xml:space="preserve">   </v>
          </cell>
          <cell r="G1363">
            <v>52392</v>
          </cell>
          <cell r="H1363">
            <v>1202084.6599999999</v>
          </cell>
          <cell r="I1363">
            <v>8730.16</v>
          </cell>
          <cell r="J1363">
            <v>1077250</v>
          </cell>
          <cell r="K1363">
            <v>116104.5</v>
          </cell>
          <cell r="L1363">
            <v>0</v>
          </cell>
        </row>
        <row r="1364">
          <cell r="A1364">
            <v>3</v>
          </cell>
          <cell r="B1364">
            <v>2</v>
          </cell>
          <cell r="C1364">
            <v>393</v>
          </cell>
          <cell r="D1364" t="str">
            <v xml:space="preserve">  </v>
          </cell>
          <cell r="E1364" t="str">
            <v xml:space="preserve">    </v>
          </cell>
          <cell r="F1364" t="str">
            <v xml:space="preserve">   </v>
          </cell>
          <cell r="G1364">
            <v>32393</v>
          </cell>
          <cell r="H1364">
            <v>43084.58</v>
          </cell>
          <cell r="I1364">
            <v>0</v>
          </cell>
          <cell r="J1364">
            <v>42473.54</v>
          </cell>
          <cell r="K1364">
            <v>611.04</v>
          </cell>
          <cell r="L1364">
            <v>0</v>
          </cell>
        </row>
        <row r="1365">
          <cell r="A1365">
            <v>4</v>
          </cell>
          <cell r="B1365">
            <v>2</v>
          </cell>
          <cell r="C1365">
            <v>393</v>
          </cell>
          <cell r="D1365" t="str">
            <v xml:space="preserve">  </v>
          </cell>
          <cell r="E1365" t="str">
            <v xml:space="preserve">    </v>
          </cell>
          <cell r="F1365" t="str">
            <v xml:space="preserve">   </v>
          </cell>
          <cell r="G1365">
            <v>42393</v>
          </cell>
          <cell r="H1365">
            <v>43084.56</v>
          </cell>
          <cell r="I1365">
            <v>0</v>
          </cell>
          <cell r="J1365">
            <v>42473.52</v>
          </cell>
          <cell r="K1365">
            <v>611.04</v>
          </cell>
          <cell r="L1365">
            <v>0</v>
          </cell>
        </row>
        <row r="1366">
          <cell r="A1366">
            <v>5</v>
          </cell>
          <cell r="B1366">
            <v>2</v>
          </cell>
          <cell r="C1366">
            <v>393</v>
          </cell>
          <cell r="D1366" t="str">
            <v xml:space="preserve">  </v>
          </cell>
          <cell r="E1366" t="str">
            <v xml:space="preserve">    </v>
          </cell>
          <cell r="F1366" t="str">
            <v xml:space="preserve">   </v>
          </cell>
          <cell r="G1366">
            <v>52393</v>
          </cell>
          <cell r="H1366">
            <v>43084.58</v>
          </cell>
          <cell r="I1366">
            <v>0</v>
          </cell>
          <cell r="J1366">
            <v>42473.54</v>
          </cell>
          <cell r="K1366">
            <v>611.04</v>
          </cell>
          <cell r="L1366">
            <v>0</v>
          </cell>
        </row>
        <row r="1367">
          <cell r="A1367">
            <v>3</v>
          </cell>
          <cell r="B1367">
            <v>2</v>
          </cell>
          <cell r="C1367">
            <v>394</v>
          </cell>
          <cell r="D1367" t="str">
            <v xml:space="preserve">  </v>
          </cell>
          <cell r="E1367" t="str">
            <v xml:space="preserve">    </v>
          </cell>
          <cell r="F1367" t="str">
            <v xml:space="preserve">   </v>
          </cell>
          <cell r="G1367">
            <v>32394</v>
          </cell>
          <cell r="H1367">
            <v>721833.68</v>
          </cell>
          <cell r="I1367">
            <v>4653.26</v>
          </cell>
          <cell r="J1367">
            <v>514377.66</v>
          </cell>
          <cell r="K1367">
            <v>202802.76</v>
          </cell>
          <cell r="L1367">
            <v>0</v>
          </cell>
        </row>
        <row r="1368">
          <cell r="A1368">
            <v>4</v>
          </cell>
          <cell r="B1368">
            <v>2</v>
          </cell>
          <cell r="C1368">
            <v>394</v>
          </cell>
          <cell r="D1368" t="str">
            <v xml:space="preserve">  </v>
          </cell>
          <cell r="E1368" t="str">
            <v xml:space="preserve">    </v>
          </cell>
          <cell r="F1368" t="str">
            <v xml:space="preserve">   </v>
          </cell>
          <cell r="G1368">
            <v>42394</v>
          </cell>
          <cell r="H1368">
            <v>686512.2</v>
          </cell>
          <cell r="I1368">
            <v>3612.34</v>
          </cell>
          <cell r="J1368">
            <v>483842.92</v>
          </cell>
          <cell r="K1368">
            <v>199056.94</v>
          </cell>
          <cell r="L1368">
            <v>0</v>
          </cell>
        </row>
        <row r="1369">
          <cell r="A1369">
            <v>5</v>
          </cell>
          <cell r="B1369">
            <v>2</v>
          </cell>
          <cell r="C1369">
            <v>394</v>
          </cell>
          <cell r="D1369" t="str">
            <v xml:space="preserve">  </v>
          </cell>
          <cell r="E1369" t="str">
            <v xml:space="preserve">    </v>
          </cell>
          <cell r="F1369" t="str">
            <v xml:space="preserve">   </v>
          </cell>
          <cell r="G1369">
            <v>52394</v>
          </cell>
          <cell r="H1369">
            <v>720614.68</v>
          </cell>
          <cell r="I1369">
            <v>4653.26</v>
          </cell>
          <cell r="J1369">
            <v>513158.66</v>
          </cell>
          <cell r="K1369">
            <v>202802.76</v>
          </cell>
          <cell r="L1369">
            <v>0</v>
          </cell>
        </row>
        <row r="1370">
          <cell r="A1370">
            <v>3</v>
          </cell>
          <cell r="B1370">
            <v>2</v>
          </cell>
          <cell r="C1370">
            <v>395</v>
          </cell>
          <cell r="D1370" t="str">
            <v xml:space="preserve">  </v>
          </cell>
          <cell r="E1370" t="str">
            <v xml:space="preserve">    </v>
          </cell>
          <cell r="F1370" t="str">
            <v xml:space="preserve">   </v>
          </cell>
          <cell r="G1370">
            <v>32395</v>
          </cell>
          <cell r="H1370">
            <v>246300.62</v>
          </cell>
          <cell r="I1370">
            <v>13115.31</v>
          </cell>
          <cell r="J1370">
            <v>199846.76</v>
          </cell>
          <cell r="K1370">
            <v>33338.550000000003</v>
          </cell>
          <cell r="L1370">
            <v>0</v>
          </cell>
        </row>
        <row r="1371">
          <cell r="A1371">
            <v>4</v>
          </cell>
          <cell r="B1371">
            <v>2</v>
          </cell>
          <cell r="C1371">
            <v>395</v>
          </cell>
          <cell r="D1371" t="str">
            <v xml:space="preserve">  </v>
          </cell>
          <cell r="E1371" t="str">
            <v xml:space="preserve">    </v>
          </cell>
          <cell r="F1371" t="str">
            <v xml:space="preserve">   </v>
          </cell>
          <cell r="G1371">
            <v>42395</v>
          </cell>
          <cell r="H1371">
            <v>239455.38</v>
          </cell>
          <cell r="I1371">
            <v>13115.17</v>
          </cell>
          <cell r="J1371">
            <v>193377.02</v>
          </cell>
          <cell r="K1371">
            <v>32963.21</v>
          </cell>
          <cell r="L1371">
            <v>0</v>
          </cell>
        </row>
        <row r="1372">
          <cell r="A1372">
            <v>5</v>
          </cell>
          <cell r="B1372">
            <v>2</v>
          </cell>
          <cell r="C1372">
            <v>395</v>
          </cell>
          <cell r="D1372" t="str">
            <v xml:space="preserve">  </v>
          </cell>
          <cell r="E1372" t="str">
            <v xml:space="preserve">    </v>
          </cell>
          <cell r="F1372" t="str">
            <v xml:space="preserve">   </v>
          </cell>
          <cell r="G1372">
            <v>52395</v>
          </cell>
          <cell r="H1372">
            <v>245238.08</v>
          </cell>
          <cell r="I1372">
            <v>13115.31</v>
          </cell>
          <cell r="J1372">
            <v>198784.24</v>
          </cell>
          <cell r="K1372">
            <v>33338.54</v>
          </cell>
          <cell r="L1372">
            <v>0</v>
          </cell>
        </row>
        <row r="1373">
          <cell r="A1373">
            <v>3</v>
          </cell>
          <cell r="B1373">
            <v>2</v>
          </cell>
          <cell r="C1373">
            <v>396</v>
          </cell>
          <cell r="D1373" t="str">
            <v xml:space="preserve">  </v>
          </cell>
          <cell r="E1373" t="str">
            <v xml:space="preserve">    </v>
          </cell>
          <cell r="F1373" t="str">
            <v xml:space="preserve">   </v>
          </cell>
          <cell r="G1373">
            <v>32396</v>
          </cell>
          <cell r="H1373">
            <v>83579.86</v>
          </cell>
          <cell r="I1373">
            <v>0</v>
          </cell>
          <cell r="J1373">
            <v>27687.22</v>
          </cell>
          <cell r="K1373">
            <v>55892.639999999999</v>
          </cell>
          <cell r="L1373">
            <v>0</v>
          </cell>
        </row>
        <row r="1374">
          <cell r="A1374">
            <v>4</v>
          </cell>
          <cell r="B1374">
            <v>2</v>
          </cell>
          <cell r="C1374">
            <v>396</v>
          </cell>
          <cell r="D1374" t="str">
            <v xml:space="preserve">  </v>
          </cell>
          <cell r="E1374" t="str">
            <v xml:space="preserve">    </v>
          </cell>
          <cell r="F1374" t="str">
            <v xml:space="preserve">   </v>
          </cell>
          <cell r="G1374">
            <v>42396</v>
          </cell>
          <cell r="H1374">
            <v>83579.759999999995</v>
          </cell>
          <cell r="I1374">
            <v>0</v>
          </cell>
          <cell r="J1374">
            <v>27687.119999999999</v>
          </cell>
          <cell r="K1374">
            <v>55892.639999999999</v>
          </cell>
          <cell r="L1374">
            <v>0</v>
          </cell>
        </row>
        <row r="1375">
          <cell r="A1375">
            <v>5</v>
          </cell>
          <cell r="B1375">
            <v>2</v>
          </cell>
          <cell r="C1375">
            <v>396</v>
          </cell>
          <cell r="D1375" t="str">
            <v xml:space="preserve">  </v>
          </cell>
          <cell r="E1375" t="str">
            <v xml:space="preserve">    </v>
          </cell>
          <cell r="F1375" t="str">
            <v xml:space="preserve">   </v>
          </cell>
          <cell r="G1375">
            <v>52396</v>
          </cell>
          <cell r="H1375">
            <v>83579.86</v>
          </cell>
          <cell r="I1375">
            <v>0</v>
          </cell>
          <cell r="J1375">
            <v>27687.22</v>
          </cell>
          <cell r="K1375">
            <v>55892.639999999999</v>
          </cell>
          <cell r="L1375">
            <v>0</v>
          </cell>
        </row>
        <row r="1376">
          <cell r="A1376">
            <v>3</v>
          </cell>
          <cell r="B1376">
            <v>2</v>
          </cell>
          <cell r="C1376">
            <v>397</v>
          </cell>
          <cell r="D1376" t="str">
            <v xml:space="preserve">  </v>
          </cell>
          <cell r="E1376" t="str">
            <v xml:space="preserve">    </v>
          </cell>
          <cell r="F1376" t="str">
            <v xml:space="preserve">   </v>
          </cell>
          <cell r="G1376">
            <v>32397</v>
          </cell>
          <cell r="H1376">
            <v>216496.6</v>
          </cell>
          <cell r="I1376">
            <v>89773.83</v>
          </cell>
          <cell r="J1376">
            <v>101494.16</v>
          </cell>
          <cell r="K1376">
            <v>25228.61</v>
          </cell>
          <cell r="L1376">
            <v>0</v>
          </cell>
        </row>
        <row r="1377">
          <cell r="A1377">
            <v>4</v>
          </cell>
          <cell r="B1377">
            <v>2</v>
          </cell>
          <cell r="C1377">
            <v>397</v>
          </cell>
          <cell r="D1377" t="str">
            <v xml:space="preserve">  </v>
          </cell>
          <cell r="E1377" t="str">
            <v xml:space="preserve">    </v>
          </cell>
          <cell r="F1377" t="str">
            <v xml:space="preserve">   </v>
          </cell>
          <cell r="G1377">
            <v>42397</v>
          </cell>
          <cell r="H1377">
            <v>214138.75</v>
          </cell>
          <cell r="I1377">
            <v>92478.96</v>
          </cell>
          <cell r="J1377">
            <v>97252.61</v>
          </cell>
          <cell r="K1377">
            <v>24407.200000000001</v>
          </cell>
          <cell r="L1377">
            <v>0</v>
          </cell>
        </row>
        <row r="1378">
          <cell r="A1378">
            <v>5</v>
          </cell>
          <cell r="B1378">
            <v>2</v>
          </cell>
          <cell r="C1378">
            <v>397</v>
          </cell>
          <cell r="D1378" t="str">
            <v xml:space="preserve">  </v>
          </cell>
          <cell r="E1378" t="str">
            <v xml:space="preserve">    </v>
          </cell>
          <cell r="F1378" t="str">
            <v xml:space="preserve">   </v>
          </cell>
          <cell r="G1378">
            <v>52397</v>
          </cell>
          <cell r="H1378">
            <v>216496.58</v>
          </cell>
          <cell r="I1378">
            <v>89773.82</v>
          </cell>
          <cell r="J1378">
            <v>101494.16</v>
          </cell>
          <cell r="K1378">
            <v>25228.6</v>
          </cell>
          <cell r="L1378">
            <v>0</v>
          </cell>
        </row>
        <row r="1379">
          <cell r="A1379">
            <v>3</v>
          </cell>
          <cell r="B1379">
            <v>2</v>
          </cell>
          <cell r="C1379">
            <v>398</v>
          </cell>
          <cell r="D1379" t="str">
            <v xml:space="preserve">  </v>
          </cell>
          <cell r="E1379" t="str">
            <v xml:space="preserve">    </v>
          </cell>
          <cell r="F1379" t="str">
            <v xml:space="preserve">   </v>
          </cell>
          <cell r="G1379">
            <v>32398</v>
          </cell>
          <cell r="H1379">
            <v>3139.93</v>
          </cell>
          <cell r="I1379">
            <v>0</v>
          </cell>
          <cell r="J1379">
            <v>0</v>
          </cell>
          <cell r="K1379">
            <v>3139.93</v>
          </cell>
          <cell r="L1379">
            <v>0</v>
          </cell>
        </row>
        <row r="1380">
          <cell r="A1380">
            <v>4</v>
          </cell>
          <cell r="B1380">
            <v>2</v>
          </cell>
          <cell r="C1380">
            <v>398</v>
          </cell>
          <cell r="D1380" t="str">
            <v xml:space="preserve">  </v>
          </cell>
          <cell r="E1380" t="str">
            <v xml:space="preserve">    </v>
          </cell>
          <cell r="F1380" t="str">
            <v xml:space="preserve">   </v>
          </cell>
          <cell r="G1380">
            <v>42398</v>
          </cell>
          <cell r="H1380">
            <v>6435.22</v>
          </cell>
          <cell r="I1380">
            <v>0</v>
          </cell>
          <cell r="J1380">
            <v>3295.3</v>
          </cell>
          <cell r="K1380">
            <v>3139.92</v>
          </cell>
          <cell r="L1380">
            <v>0</v>
          </cell>
        </row>
        <row r="1381">
          <cell r="A1381">
            <v>5</v>
          </cell>
          <cell r="B1381">
            <v>2</v>
          </cell>
          <cell r="C1381">
            <v>398</v>
          </cell>
          <cell r="D1381" t="str">
            <v xml:space="preserve">  </v>
          </cell>
          <cell r="E1381" t="str">
            <v xml:space="preserve">    </v>
          </cell>
          <cell r="F1381" t="str">
            <v xml:space="preserve">   </v>
          </cell>
          <cell r="G1381">
            <v>52398</v>
          </cell>
          <cell r="H1381">
            <v>3139.92</v>
          </cell>
          <cell r="I1381">
            <v>0</v>
          </cell>
          <cell r="J1381">
            <v>0</v>
          </cell>
          <cell r="K1381">
            <v>3139.92</v>
          </cell>
          <cell r="L1381">
            <v>0</v>
          </cell>
        </row>
        <row r="1382">
          <cell r="A1382">
            <v>3</v>
          </cell>
          <cell r="B1382">
            <v>7</v>
          </cell>
          <cell r="C1382">
            <v>389</v>
          </cell>
          <cell r="D1382" t="str">
            <v xml:space="preserve">  </v>
          </cell>
          <cell r="E1382" t="str">
            <v xml:space="preserve">    </v>
          </cell>
          <cell r="F1382" t="str">
            <v xml:space="preserve">   </v>
          </cell>
          <cell r="G1382">
            <v>37389</v>
          </cell>
          <cell r="H1382">
            <v>391000.81</v>
          </cell>
          <cell r="I1382">
            <v>391000.81</v>
          </cell>
          <cell r="J1382">
            <v>0</v>
          </cell>
          <cell r="K1382">
            <v>0</v>
          </cell>
          <cell r="L1382">
            <v>0</v>
          </cell>
        </row>
        <row r="1383">
          <cell r="A1383">
            <v>4</v>
          </cell>
          <cell r="B1383">
            <v>7</v>
          </cell>
          <cell r="C1383">
            <v>389</v>
          </cell>
          <cell r="D1383" t="str">
            <v xml:space="preserve">  </v>
          </cell>
          <cell r="E1383" t="str">
            <v xml:space="preserve">    </v>
          </cell>
          <cell r="F1383" t="str">
            <v xml:space="preserve">   </v>
          </cell>
          <cell r="G1383">
            <v>47389</v>
          </cell>
          <cell r="H1383">
            <v>391000.69</v>
          </cell>
          <cell r="I1383">
            <v>391000.69</v>
          </cell>
          <cell r="J1383">
            <v>0</v>
          </cell>
          <cell r="K1383">
            <v>0</v>
          </cell>
          <cell r="L1383">
            <v>0</v>
          </cell>
        </row>
        <row r="1384">
          <cell r="A1384">
            <v>5</v>
          </cell>
          <cell r="B1384">
            <v>7</v>
          </cell>
          <cell r="C1384">
            <v>389</v>
          </cell>
          <cell r="D1384" t="str">
            <v xml:space="preserve">  </v>
          </cell>
          <cell r="E1384" t="str">
            <v xml:space="preserve">    </v>
          </cell>
          <cell r="F1384" t="str">
            <v xml:space="preserve">   </v>
          </cell>
          <cell r="G1384">
            <v>57389</v>
          </cell>
          <cell r="H1384">
            <v>391000.81</v>
          </cell>
          <cell r="I1384">
            <v>391000.81</v>
          </cell>
          <cell r="J1384">
            <v>0</v>
          </cell>
          <cell r="K1384">
            <v>0</v>
          </cell>
          <cell r="L1384">
            <v>0</v>
          </cell>
        </row>
        <row r="1385">
          <cell r="A1385">
            <v>3</v>
          </cell>
          <cell r="B1385">
            <v>7</v>
          </cell>
          <cell r="C1385">
            <v>390</v>
          </cell>
          <cell r="D1385" t="str">
            <v xml:space="preserve">  </v>
          </cell>
          <cell r="E1385" t="str">
            <v xml:space="preserve">    </v>
          </cell>
          <cell r="F1385" t="str">
            <v xml:space="preserve">   </v>
          </cell>
          <cell r="G1385">
            <v>37390</v>
          </cell>
          <cell r="H1385">
            <v>11171250.189999999</v>
          </cell>
          <cell r="I1385">
            <v>11171250.189999999</v>
          </cell>
          <cell r="J1385">
            <v>0</v>
          </cell>
          <cell r="K1385">
            <v>0</v>
          </cell>
          <cell r="L1385">
            <v>0</v>
          </cell>
        </row>
        <row r="1386">
          <cell r="A1386">
            <v>4</v>
          </cell>
          <cell r="B1386">
            <v>7</v>
          </cell>
          <cell r="C1386">
            <v>390</v>
          </cell>
          <cell r="D1386" t="str">
            <v xml:space="preserve">  </v>
          </cell>
          <cell r="E1386" t="str">
            <v xml:space="preserve">    </v>
          </cell>
          <cell r="F1386" t="str">
            <v xml:space="preserve">   </v>
          </cell>
          <cell r="G1386">
            <v>47390</v>
          </cell>
          <cell r="H1386">
            <v>10875550.01</v>
          </cell>
          <cell r="I1386">
            <v>10875550.01</v>
          </cell>
          <cell r="J1386">
            <v>0</v>
          </cell>
          <cell r="K1386">
            <v>0</v>
          </cell>
          <cell r="L1386">
            <v>0</v>
          </cell>
        </row>
        <row r="1387">
          <cell r="A1387">
            <v>5</v>
          </cell>
          <cell r="B1387">
            <v>7</v>
          </cell>
          <cell r="C1387">
            <v>390</v>
          </cell>
          <cell r="D1387" t="str">
            <v xml:space="preserve">  </v>
          </cell>
          <cell r="E1387" t="str">
            <v xml:space="preserve">    </v>
          </cell>
          <cell r="F1387" t="str">
            <v xml:space="preserve">   </v>
          </cell>
          <cell r="G1387">
            <v>57390</v>
          </cell>
          <cell r="H1387">
            <v>11123146.52</v>
          </cell>
          <cell r="I1387">
            <v>11123146.52</v>
          </cell>
          <cell r="J1387">
            <v>0</v>
          </cell>
          <cell r="K1387">
            <v>0</v>
          </cell>
          <cell r="L1387">
            <v>0</v>
          </cell>
        </row>
        <row r="1388">
          <cell r="A1388">
            <v>3</v>
          </cell>
          <cell r="B1388">
            <v>7</v>
          </cell>
          <cell r="C1388">
            <v>391</v>
          </cell>
          <cell r="D1388" t="str">
            <v xml:space="preserve">  </v>
          </cell>
          <cell r="E1388" t="str">
            <v xml:space="preserve">    </v>
          </cell>
          <cell r="F1388" t="str">
            <v xml:space="preserve">   </v>
          </cell>
          <cell r="G1388">
            <v>37391</v>
          </cell>
          <cell r="H1388">
            <v>18363493.32</v>
          </cell>
          <cell r="I1388">
            <v>18363493.32</v>
          </cell>
          <cell r="J1388">
            <v>0</v>
          </cell>
          <cell r="K1388">
            <v>0</v>
          </cell>
          <cell r="L1388">
            <v>0</v>
          </cell>
        </row>
        <row r="1389">
          <cell r="A1389">
            <v>4</v>
          </cell>
          <cell r="B1389">
            <v>7</v>
          </cell>
          <cell r="C1389">
            <v>391</v>
          </cell>
          <cell r="D1389" t="str">
            <v xml:space="preserve">  </v>
          </cell>
          <cell r="E1389" t="str">
            <v xml:space="preserve">    </v>
          </cell>
          <cell r="F1389" t="str">
            <v xml:space="preserve">   </v>
          </cell>
          <cell r="G1389">
            <v>47391</v>
          </cell>
          <cell r="H1389">
            <v>21369819.010000002</v>
          </cell>
          <cell r="I1389">
            <v>21369819.010000002</v>
          </cell>
          <cell r="J1389">
            <v>0</v>
          </cell>
          <cell r="K1389">
            <v>0</v>
          </cell>
          <cell r="L1389">
            <v>0</v>
          </cell>
        </row>
        <row r="1390">
          <cell r="A1390">
            <v>5</v>
          </cell>
          <cell r="B1390">
            <v>7</v>
          </cell>
          <cell r="C1390">
            <v>391</v>
          </cell>
          <cell r="D1390" t="str">
            <v xml:space="preserve">  </v>
          </cell>
          <cell r="E1390" t="str">
            <v xml:space="preserve">    </v>
          </cell>
          <cell r="F1390" t="str">
            <v xml:space="preserve">   </v>
          </cell>
          <cell r="G1390">
            <v>57391</v>
          </cell>
          <cell r="H1390">
            <v>17976851.870000001</v>
          </cell>
          <cell r="I1390">
            <v>17976851.870000001</v>
          </cell>
          <cell r="J1390">
            <v>0</v>
          </cell>
          <cell r="K1390">
            <v>0</v>
          </cell>
          <cell r="L1390">
            <v>0</v>
          </cell>
        </row>
        <row r="1391">
          <cell r="A1391">
            <v>3</v>
          </cell>
          <cell r="B1391">
            <v>7</v>
          </cell>
          <cell r="C1391">
            <v>394</v>
          </cell>
          <cell r="D1391" t="str">
            <v xml:space="preserve">  </v>
          </cell>
          <cell r="E1391" t="str">
            <v xml:space="preserve">    </v>
          </cell>
          <cell r="F1391" t="str">
            <v xml:space="preserve">   </v>
          </cell>
          <cell r="G1391">
            <v>37394</v>
          </cell>
          <cell r="H1391">
            <v>166365.1</v>
          </cell>
          <cell r="I1391">
            <v>166365.1</v>
          </cell>
          <cell r="J1391">
            <v>0</v>
          </cell>
          <cell r="K1391">
            <v>0</v>
          </cell>
          <cell r="L1391">
            <v>0</v>
          </cell>
        </row>
        <row r="1392">
          <cell r="A1392">
            <v>4</v>
          </cell>
          <cell r="B1392">
            <v>7</v>
          </cell>
          <cell r="C1392">
            <v>394</v>
          </cell>
          <cell r="D1392" t="str">
            <v xml:space="preserve">  </v>
          </cell>
          <cell r="E1392" t="str">
            <v xml:space="preserve">    </v>
          </cell>
          <cell r="F1392" t="str">
            <v xml:space="preserve">   </v>
          </cell>
          <cell r="G1392">
            <v>47394</v>
          </cell>
          <cell r="H1392">
            <v>166677.5</v>
          </cell>
          <cell r="I1392">
            <v>166677.5</v>
          </cell>
          <cell r="J1392">
            <v>0</v>
          </cell>
          <cell r="K1392">
            <v>0</v>
          </cell>
          <cell r="L1392">
            <v>0</v>
          </cell>
        </row>
        <row r="1393">
          <cell r="A1393">
            <v>5</v>
          </cell>
          <cell r="B1393">
            <v>7</v>
          </cell>
          <cell r="C1393">
            <v>394</v>
          </cell>
          <cell r="D1393" t="str">
            <v xml:space="preserve">  </v>
          </cell>
          <cell r="E1393" t="str">
            <v xml:space="preserve">    </v>
          </cell>
          <cell r="F1393" t="str">
            <v xml:space="preserve">   </v>
          </cell>
          <cell r="G1393">
            <v>57394</v>
          </cell>
          <cell r="H1393">
            <v>166365.1</v>
          </cell>
          <cell r="I1393">
            <v>166365.1</v>
          </cell>
          <cell r="J1393">
            <v>0</v>
          </cell>
          <cell r="K1393">
            <v>0</v>
          </cell>
          <cell r="L1393">
            <v>0</v>
          </cell>
        </row>
        <row r="1394">
          <cell r="A1394">
            <v>3</v>
          </cell>
          <cell r="B1394">
            <v>7</v>
          </cell>
          <cell r="C1394">
            <v>397</v>
          </cell>
          <cell r="D1394" t="str">
            <v xml:space="preserve">  </v>
          </cell>
          <cell r="E1394" t="str">
            <v xml:space="preserve">    </v>
          </cell>
          <cell r="F1394" t="str">
            <v xml:space="preserve">   </v>
          </cell>
          <cell r="G1394">
            <v>37397</v>
          </cell>
          <cell r="H1394">
            <v>5824357.5800000001</v>
          </cell>
          <cell r="I1394">
            <v>5824357.5800000001</v>
          </cell>
          <cell r="J1394">
            <v>0</v>
          </cell>
          <cell r="K1394">
            <v>0</v>
          </cell>
          <cell r="L1394">
            <v>0</v>
          </cell>
        </row>
        <row r="1395">
          <cell r="A1395">
            <v>4</v>
          </cell>
          <cell r="B1395">
            <v>7</v>
          </cell>
          <cell r="C1395">
            <v>397</v>
          </cell>
          <cell r="D1395" t="str">
            <v xml:space="preserve">  </v>
          </cell>
          <cell r="E1395" t="str">
            <v xml:space="preserve">    </v>
          </cell>
          <cell r="F1395" t="str">
            <v xml:space="preserve">   </v>
          </cell>
          <cell r="G1395">
            <v>47397</v>
          </cell>
          <cell r="H1395">
            <v>5672625.5099999998</v>
          </cell>
          <cell r="I1395">
            <v>5672625.5099999998</v>
          </cell>
          <cell r="J1395">
            <v>0</v>
          </cell>
          <cell r="K1395">
            <v>0</v>
          </cell>
          <cell r="L1395">
            <v>0</v>
          </cell>
        </row>
        <row r="1396">
          <cell r="A1396">
            <v>5</v>
          </cell>
          <cell r="B1396">
            <v>7</v>
          </cell>
          <cell r="C1396">
            <v>397</v>
          </cell>
          <cell r="D1396" t="str">
            <v xml:space="preserve">  </v>
          </cell>
          <cell r="E1396" t="str">
            <v xml:space="preserve">    </v>
          </cell>
          <cell r="F1396" t="str">
            <v xml:space="preserve">   </v>
          </cell>
          <cell r="G1396">
            <v>57397</v>
          </cell>
          <cell r="H1396">
            <v>5818340.1100000003</v>
          </cell>
          <cell r="I1396">
            <v>5818340.1100000003</v>
          </cell>
          <cell r="J1396">
            <v>0</v>
          </cell>
          <cell r="K1396">
            <v>0</v>
          </cell>
          <cell r="L1396">
            <v>0</v>
          </cell>
        </row>
        <row r="1397">
          <cell r="A1397">
            <v>3</v>
          </cell>
          <cell r="B1397">
            <v>7</v>
          </cell>
          <cell r="C1397">
            <v>398</v>
          </cell>
          <cell r="D1397" t="str">
            <v xml:space="preserve">  </v>
          </cell>
          <cell r="E1397" t="str">
            <v xml:space="preserve">    </v>
          </cell>
          <cell r="F1397" t="str">
            <v xml:space="preserve">   </v>
          </cell>
          <cell r="G1397">
            <v>37398</v>
          </cell>
          <cell r="H1397">
            <v>163835.79</v>
          </cell>
          <cell r="I1397">
            <v>163835.79</v>
          </cell>
          <cell r="J1397">
            <v>0</v>
          </cell>
          <cell r="K1397">
            <v>0</v>
          </cell>
          <cell r="L1397">
            <v>0</v>
          </cell>
        </row>
        <row r="1398">
          <cell r="A1398">
            <v>4</v>
          </cell>
          <cell r="B1398">
            <v>7</v>
          </cell>
          <cell r="C1398">
            <v>398</v>
          </cell>
          <cell r="D1398" t="str">
            <v xml:space="preserve">  </v>
          </cell>
          <cell r="E1398" t="str">
            <v xml:space="preserve">    </v>
          </cell>
          <cell r="F1398" t="str">
            <v xml:space="preserve">   </v>
          </cell>
          <cell r="G1398">
            <v>47398</v>
          </cell>
          <cell r="H1398">
            <v>163278.94</v>
          </cell>
          <cell r="I1398">
            <v>163278.94</v>
          </cell>
          <cell r="J1398">
            <v>0</v>
          </cell>
          <cell r="K1398">
            <v>0</v>
          </cell>
          <cell r="L1398">
            <v>0</v>
          </cell>
        </row>
        <row r="1399">
          <cell r="A1399">
            <v>5</v>
          </cell>
          <cell r="B1399">
            <v>7</v>
          </cell>
          <cell r="C1399">
            <v>398</v>
          </cell>
          <cell r="D1399" t="str">
            <v xml:space="preserve">  </v>
          </cell>
          <cell r="E1399" t="str">
            <v xml:space="preserve">    </v>
          </cell>
          <cell r="F1399" t="str">
            <v xml:space="preserve">   </v>
          </cell>
          <cell r="G1399">
            <v>57398</v>
          </cell>
          <cell r="H1399">
            <v>163608.84</v>
          </cell>
          <cell r="I1399">
            <v>163608.84</v>
          </cell>
          <cell r="J1399">
            <v>0</v>
          </cell>
          <cell r="K1399">
            <v>0</v>
          </cell>
          <cell r="L1399">
            <v>0</v>
          </cell>
        </row>
        <row r="1400">
          <cell r="A1400">
            <v>3</v>
          </cell>
          <cell r="B1400">
            <v>8</v>
          </cell>
          <cell r="C1400">
            <v>395</v>
          </cell>
          <cell r="D1400" t="str">
            <v xml:space="preserve">  </v>
          </cell>
          <cell r="E1400" t="str">
            <v xml:space="preserve">    </v>
          </cell>
          <cell r="F1400" t="str">
            <v xml:space="preserve">   </v>
          </cell>
          <cell r="G1400">
            <v>38395</v>
          </cell>
          <cell r="H1400">
            <v>8745.57</v>
          </cell>
          <cell r="I1400">
            <v>8745.57</v>
          </cell>
          <cell r="J1400">
            <v>0</v>
          </cell>
          <cell r="K1400">
            <v>0</v>
          </cell>
          <cell r="L1400">
            <v>0</v>
          </cell>
        </row>
        <row r="1401">
          <cell r="A1401">
            <v>4</v>
          </cell>
          <cell r="B1401">
            <v>8</v>
          </cell>
          <cell r="C1401">
            <v>395</v>
          </cell>
          <cell r="D1401" t="str">
            <v xml:space="preserve">  </v>
          </cell>
          <cell r="E1401" t="str">
            <v xml:space="preserve">    </v>
          </cell>
          <cell r="F1401" t="str">
            <v xml:space="preserve">   </v>
          </cell>
          <cell r="G1401">
            <v>48395</v>
          </cell>
          <cell r="H1401">
            <v>8745.49</v>
          </cell>
          <cell r="I1401">
            <v>8745.49</v>
          </cell>
          <cell r="J1401">
            <v>0</v>
          </cell>
          <cell r="K1401">
            <v>0</v>
          </cell>
          <cell r="L1401">
            <v>0</v>
          </cell>
        </row>
        <row r="1402">
          <cell r="A1402">
            <v>5</v>
          </cell>
          <cell r="B1402">
            <v>8</v>
          </cell>
          <cell r="C1402">
            <v>395</v>
          </cell>
          <cell r="D1402" t="str">
            <v xml:space="preserve">  </v>
          </cell>
          <cell r="E1402" t="str">
            <v xml:space="preserve">    </v>
          </cell>
          <cell r="F1402" t="str">
            <v xml:space="preserve">   </v>
          </cell>
          <cell r="G1402">
            <v>58395</v>
          </cell>
          <cell r="H1402">
            <v>8745.57</v>
          </cell>
          <cell r="I1402">
            <v>8745.57</v>
          </cell>
          <cell r="J1402">
            <v>0</v>
          </cell>
          <cell r="K1402">
            <v>0</v>
          </cell>
          <cell r="L1402">
            <v>0</v>
          </cell>
        </row>
        <row r="1403">
          <cell r="A1403">
            <v>3</v>
          </cell>
          <cell r="B1403">
            <v>8</v>
          </cell>
          <cell r="C1403">
            <v>397</v>
          </cell>
          <cell r="D1403" t="str">
            <v xml:space="preserve">  </v>
          </cell>
          <cell r="E1403" t="str">
            <v xml:space="preserve">    </v>
          </cell>
          <cell r="F1403" t="str">
            <v xml:space="preserve">   </v>
          </cell>
          <cell r="G1403">
            <v>38397</v>
          </cell>
          <cell r="H1403">
            <v>136143.67999999999</v>
          </cell>
          <cell r="I1403">
            <v>136143.67999999999</v>
          </cell>
          <cell r="J1403">
            <v>0</v>
          </cell>
          <cell r="K1403">
            <v>0</v>
          </cell>
          <cell r="L1403">
            <v>0</v>
          </cell>
        </row>
        <row r="1404">
          <cell r="A1404">
            <v>4</v>
          </cell>
          <cell r="B1404">
            <v>8</v>
          </cell>
          <cell r="C1404">
            <v>397</v>
          </cell>
          <cell r="D1404" t="str">
            <v xml:space="preserve">  </v>
          </cell>
          <cell r="E1404" t="str">
            <v xml:space="preserve">    </v>
          </cell>
          <cell r="F1404" t="str">
            <v xml:space="preserve">   </v>
          </cell>
          <cell r="G1404">
            <v>48397</v>
          </cell>
          <cell r="H1404">
            <v>136143.59</v>
          </cell>
          <cell r="I1404">
            <v>136143.59</v>
          </cell>
          <cell r="J1404">
            <v>0</v>
          </cell>
          <cell r="K1404">
            <v>0</v>
          </cell>
          <cell r="L1404">
            <v>0</v>
          </cell>
        </row>
        <row r="1405">
          <cell r="A1405">
            <v>5</v>
          </cell>
          <cell r="B1405">
            <v>8</v>
          </cell>
          <cell r="C1405">
            <v>397</v>
          </cell>
          <cell r="D1405" t="str">
            <v xml:space="preserve">  </v>
          </cell>
          <cell r="E1405" t="str">
            <v xml:space="preserve">    </v>
          </cell>
          <cell r="F1405" t="str">
            <v xml:space="preserve">   </v>
          </cell>
          <cell r="G1405">
            <v>58397</v>
          </cell>
          <cell r="H1405">
            <v>136143.67999999999</v>
          </cell>
          <cell r="I1405">
            <v>136143.67999999999</v>
          </cell>
          <cell r="J1405">
            <v>0</v>
          </cell>
          <cell r="K1405">
            <v>0</v>
          </cell>
          <cell r="L1405">
            <v>0</v>
          </cell>
        </row>
        <row r="1406">
          <cell r="A1406">
            <v>3</v>
          </cell>
          <cell r="B1406">
            <v>9</v>
          </cell>
          <cell r="C1406">
            <v>389</v>
          </cell>
          <cell r="D1406" t="str">
            <v xml:space="preserve">  </v>
          </cell>
          <cell r="E1406" t="str">
            <v xml:space="preserve">    </v>
          </cell>
          <cell r="F1406" t="str">
            <v xml:space="preserve">   </v>
          </cell>
          <cell r="G1406">
            <v>39389</v>
          </cell>
          <cell r="H1406">
            <v>1142175.49</v>
          </cell>
          <cell r="I1406">
            <v>267745.46999999997</v>
          </cell>
          <cell r="J1406">
            <v>480080.32</v>
          </cell>
          <cell r="K1406">
            <v>394349.7</v>
          </cell>
          <cell r="L1406">
            <v>0</v>
          </cell>
        </row>
        <row r="1407">
          <cell r="A1407">
            <v>4</v>
          </cell>
          <cell r="B1407">
            <v>9</v>
          </cell>
          <cell r="C1407">
            <v>389</v>
          </cell>
          <cell r="D1407" t="str">
            <v xml:space="preserve">  </v>
          </cell>
          <cell r="E1407" t="str">
            <v xml:space="preserve">    </v>
          </cell>
          <cell r="F1407" t="str">
            <v xml:space="preserve">   </v>
          </cell>
          <cell r="G1407">
            <v>49389</v>
          </cell>
          <cell r="H1407">
            <v>1138987.46</v>
          </cell>
          <cell r="I1407">
            <v>267745.07</v>
          </cell>
          <cell r="J1407">
            <v>476892.79</v>
          </cell>
          <cell r="K1407">
            <v>394349.65</v>
          </cell>
          <cell r="L1407">
            <v>0</v>
          </cell>
        </row>
        <row r="1408">
          <cell r="A1408">
            <v>5</v>
          </cell>
          <cell r="B1408">
            <v>9</v>
          </cell>
          <cell r="C1408">
            <v>389</v>
          </cell>
          <cell r="D1408" t="str">
            <v xml:space="preserve">  </v>
          </cell>
          <cell r="E1408" t="str">
            <v xml:space="preserve">    </v>
          </cell>
          <cell r="F1408" t="str">
            <v xml:space="preserve">   </v>
          </cell>
          <cell r="G1408">
            <v>59389</v>
          </cell>
          <cell r="H1408">
            <v>1142175.48</v>
          </cell>
          <cell r="I1408">
            <v>267745.46000000002</v>
          </cell>
          <cell r="J1408">
            <v>480080.32</v>
          </cell>
          <cell r="K1408">
            <v>394349.7</v>
          </cell>
          <cell r="L1408">
            <v>0</v>
          </cell>
        </row>
        <row r="1409">
          <cell r="A1409">
            <v>3</v>
          </cell>
          <cell r="B1409">
            <v>9</v>
          </cell>
          <cell r="C1409">
            <v>390</v>
          </cell>
          <cell r="D1409" t="str">
            <v xml:space="preserve">  </v>
          </cell>
          <cell r="E1409" t="str">
            <v xml:space="preserve">    </v>
          </cell>
          <cell r="F1409" t="str">
            <v xml:space="preserve">   </v>
          </cell>
          <cell r="G1409">
            <v>39390</v>
          </cell>
          <cell r="H1409">
            <v>7635289.0199999996</v>
          </cell>
          <cell r="I1409">
            <v>2949337.46</v>
          </cell>
          <cell r="J1409">
            <v>1349211.51</v>
          </cell>
          <cell r="K1409">
            <v>3336740.05</v>
          </cell>
          <cell r="L1409">
            <v>0</v>
          </cell>
        </row>
        <row r="1410">
          <cell r="A1410">
            <v>4</v>
          </cell>
          <cell r="B1410">
            <v>9</v>
          </cell>
          <cell r="C1410">
            <v>390</v>
          </cell>
          <cell r="D1410" t="str">
            <v xml:space="preserve">  </v>
          </cell>
          <cell r="E1410" t="str">
            <v xml:space="preserve">    </v>
          </cell>
          <cell r="F1410" t="str">
            <v xml:space="preserve">   </v>
          </cell>
          <cell r="G1410">
            <v>49390</v>
          </cell>
          <cell r="H1410">
            <v>7612643.6299999999</v>
          </cell>
          <cell r="I1410">
            <v>2945067.32</v>
          </cell>
          <cell r="J1410">
            <v>1341980.19</v>
          </cell>
          <cell r="K1410">
            <v>3325596.16</v>
          </cell>
          <cell r="L1410">
            <v>0</v>
          </cell>
        </row>
        <row r="1411">
          <cell r="A1411">
            <v>5</v>
          </cell>
          <cell r="B1411">
            <v>9</v>
          </cell>
          <cell r="C1411">
            <v>390</v>
          </cell>
          <cell r="D1411" t="str">
            <v xml:space="preserve">  </v>
          </cell>
          <cell r="E1411" t="str">
            <v xml:space="preserve">    </v>
          </cell>
          <cell r="F1411" t="str">
            <v xml:space="preserve">   </v>
          </cell>
          <cell r="G1411">
            <v>59390</v>
          </cell>
          <cell r="H1411">
            <v>7635289.0099999998</v>
          </cell>
          <cell r="I1411">
            <v>2949337.46</v>
          </cell>
          <cell r="J1411">
            <v>1349211.5</v>
          </cell>
          <cell r="K1411">
            <v>3336740.05</v>
          </cell>
          <cell r="L1411">
            <v>0</v>
          </cell>
        </row>
        <row r="1412">
          <cell r="A1412">
            <v>3</v>
          </cell>
          <cell r="B1412">
            <v>9</v>
          </cell>
          <cell r="C1412">
            <v>392</v>
          </cell>
          <cell r="D1412" t="str">
            <v xml:space="preserve">  </v>
          </cell>
          <cell r="E1412" t="str">
            <v xml:space="preserve">    </v>
          </cell>
          <cell r="F1412" t="str">
            <v xml:space="preserve">   </v>
          </cell>
          <cell r="G1412">
            <v>39392</v>
          </cell>
          <cell r="H1412">
            <v>2427387.36</v>
          </cell>
          <cell r="I1412">
            <v>1014907.53</v>
          </cell>
          <cell r="J1412">
            <v>920623.76</v>
          </cell>
          <cell r="K1412">
            <v>491856.07</v>
          </cell>
          <cell r="L1412">
            <v>0</v>
          </cell>
        </row>
        <row r="1413">
          <cell r="A1413">
            <v>4</v>
          </cell>
          <cell r="B1413">
            <v>9</v>
          </cell>
          <cell r="C1413">
            <v>392</v>
          </cell>
          <cell r="D1413" t="str">
            <v xml:space="preserve">  </v>
          </cell>
          <cell r="E1413" t="str">
            <v xml:space="preserve">    </v>
          </cell>
          <cell r="F1413" t="str">
            <v xml:space="preserve">   </v>
          </cell>
          <cell r="G1413">
            <v>49392</v>
          </cell>
          <cell r="H1413">
            <v>2279456.36</v>
          </cell>
          <cell r="I1413">
            <v>932712.98</v>
          </cell>
          <cell r="J1413">
            <v>908003.96</v>
          </cell>
          <cell r="K1413">
            <v>438739.45</v>
          </cell>
          <cell r="L1413">
            <v>0</v>
          </cell>
        </row>
        <row r="1414">
          <cell r="A1414">
            <v>5</v>
          </cell>
          <cell r="B1414">
            <v>9</v>
          </cell>
          <cell r="C1414">
            <v>392</v>
          </cell>
          <cell r="D1414" t="str">
            <v xml:space="preserve">  </v>
          </cell>
          <cell r="E1414" t="str">
            <v xml:space="preserve">    </v>
          </cell>
          <cell r="F1414" t="str">
            <v xml:space="preserve">   </v>
          </cell>
          <cell r="G1414">
            <v>59392</v>
          </cell>
          <cell r="H1414">
            <v>2428137.34</v>
          </cell>
          <cell r="I1414">
            <v>1015657.53</v>
          </cell>
          <cell r="J1414">
            <v>920623.76</v>
          </cell>
          <cell r="K1414">
            <v>491856.06</v>
          </cell>
          <cell r="L1414">
            <v>0</v>
          </cell>
        </row>
        <row r="1415">
          <cell r="A1415">
            <v>3</v>
          </cell>
          <cell r="B1415">
            <v>9</v>
          </cell>
          <cell r="C1415">
            <v>393</v>
          </cell>
          <cell r="D1415" t="str">
            <v xml:space="preserve">  </v>
          </cell>
          <cell r="E1415" t="str">
            <v xml:space="preserve">    </v>
          </cell>
          <cell r="F1415" t="str">
            <v xml:space="preserve">   </v>
          </cell>
          <cell r="G1415">
            <v>39393</v>
          </cell>
          <cell r="H1415">
            <v>779047.85</v>
          </cell>
          <cell r="I1415">
            <v>498283.67</v>
          </cell>
          <cell r="J1415">
            <v>74096.479999999996</v>
          </cell>
          <cell r="K1415">
            <v>206667.7</v>
          </cell>
          <cell r="L1415">
            <v>0</v>
          </cell>
        </row>
        <row r="1416">
          <cell r="A1416">
            <v>4</v>
          </cell>
          <cell r="B1416">
            <v>9</v>
          </cell>
          <cell r="C1416">
            <v>393</v>
          </cell>
          <cell r="D1416" t="str">
            <v xml:space="preserve">  </v>
          </cell>
          <cell r="E1416" t="str">
            <v xml:space="preserve">    </v>
          </cell>
          <cell r="F1416" t="str">
            <v xml:space="preserve">   </v>
          </cell>
          <cell r="G1416">
            <v>49393</v>
          </cell>
          <cell r="H1416">
            <v>771475.77</v>
          </cell>
          <cell r="I1416">
            <v>491492.77</v>
          </cell>
          <cell r="J1416">
            <v>73310.289999999994</v>
          </cell>
          <cell r="K1416">
            <v>206672.73</v>
          </cell>
          <cell r="L1416">
            <v>0</v>
          </cell>
        </row>
        <row r="1417">
          <cell r="A1417">
            <v>5</v>
          </cell>
          <cell r="B1417">
            <v>9</v>
          </cell>
          <cell r="C1417">
            <v>393</v>
          </cell>
          <cell r="D1417" t="str">
            <v xml:space="preserve">  </v>
          </cell>
          <cell r="E1417" t="str">
            <v xml:space="preserve">    </v>
          </cell>
          <cell r="F1417" t="str">
            <v xml:space="preserve">   </v>
          </cell>
          <cell r="G1417">
            <v>59393</v>
          </cell>
          <cell r="H1417">
            <v>778079.21</v>
          </cell>
          <cell r="I1417">
            <v>497315.05</v>
          </cell>
          <cell r="J1417">
            <v>74096.47</v>
          </cell>
          <cell r="K1417">
            <v>206667.69</v>
          </cell>
          <cell r="L1417">
            <v>0</v>
          </cell>
        </row>
        <row r="1418">
          <cell r="A1418">
            <v>3</v>
          </cell>
          <cell r="B1418">
            <v>9</v>
          </cell>
          <cell r="C1418">
            <v>394</v>
          </cell>
          <cell r="D1418" t="str">
            <v xml:space="preserve">  </v>
          </cell>
          <cell r="E1418" t="str">
            <v xml:space="preserve">    </v>
          </cell>
          <cell r="F1418" t="str">
            <v xml:space="preserve">   </v>
          </cell>
          <cell r="G1418">
            <v>39394</v>
          </cell>
          <cell r="H1418">
            <v>929928.48</v>
          </cell>
          <cell r="I1418">
            <v>827613.25</v>
          </cell>
          <cell r="J1418">
            <v>58636.47</v>
          </cell>
          <cell r="K1418">
            <v>43678.76</v>
          </cell>
          <cell r="L1418">
            <v>0</v>
          </cell>
        </row>
        <row r="1419">
          <cell r="A1419">
            <v>4</v>
          </cell>
          <cell r="B1419">
            <v>9</v>
          </cell>
          <cell r="C1419">
            <v>394</v>
          </cell>
          <cell r="D1419" t="str">
            <v xml:space="preserve">  </v>
          </cell>
          <cell r="E1419" t="str">
            <v xml:space="preserve">    </v>
          </cell>
          <cell r="F1419" t="str">
            <v xml:space="preserve">   </v>
          </cell>
          <cell r="G1419">
            <v>49394</v>
          </cell>
          <cell r="H1419">
            <v>932183.29</v>
          </cell>
          <cell r="I1419">
            <v>831281.53</v>
          </cell>
          <cell r="J1419">
            <v>57223.11</v>
          </cell>
          <cell r="K1419">
            <v>43678.69</v>
          </cell>
          <cell r="L1419">
            <v>0</v>
          </cell>
        </row>
        <row r="1420">
          <cell r="A1420">
            <v>5</v>
          </cell>
          <cell r="B1420">
            <v>9</v>
          </cell>
          <cell r="C1420">
            <v>394</v>
          </cell>
          <cell r="D1420" t="str">
            <v xml:space="preserve">  </v>
          </cell>
          <cell r="E1420" t="str">
            <v xml:space="preserve">    </v>
          </cell>
          <cell r="F1420" t="str">
            <v xml:space="preserve">   </v>
          </cell>
          <cell r="G1420">
            <v>59394</v>
          </cell>
          <cell r="H1420">
            <v>929928.45</v>
          </cell>
          <cell r="I1420">
            <v>827613.26</v>
          </cell>
          <cell r="J1420">
            <v>58636.46</v>
          </cell>
          <cell r="K1420">
            <v>43678.76</v>
          </cell>
          <cell r="L1420">
            <v>0</v>
          </cell>
        </row>
        <row r="1421">
          <cell r="A1421">
            <v>3</v>
          </cell>
          <cell r="B1421">
            <v>9</v>
          </cell>
          <cell r="C1421">
            <v>395</v>
          </cell>
          <cell r="D1421" t="str">
            <v xml:space="preserve">  </v>
          </cell>
          <cell r="E1421" t="str">
            <v xml:space="preserve">    </v>
          </cell>
          <cell r="F1421" t="str">
            <v xml:space="preserve">   </v>
          </cell>
          <cell r="G1421">
            <v>39395</v>
          </cell>
          <cell r="H1421">
            <v>640050.61</v>
          </cell>
          <cell r="I1421">
            <v>575318.01</v>
          </cell>
          <cell r="J1421">
            <v>48389.35</v>
          </cell>
          <cell r="K1421">
            <v>16343.25</v>
          </cell>
          <cell r="L1421">
            <v>0</v>
          </cell>
        </row>
        <row r="1422">
          <cell r="A1422">
            <v>4</v>
          </cell>
          <cell r="B1422">
            <v>9</v>
          </cell>
          <cell r="C1422">
            <v>395</v>
          </cell>
          <cell r="D1422" t="str">
            <v xml:space="preserve">  </v>
          </cell>
          <cell r="E1422" t="str">
            <v xml:space="preserve">    </v>
          </cell>
          <cell r="F1422" t="str">
            <v xml:space="preserve">   </v>
          </cell>
          <cell r="G1422">
            <v>49395</v>
          </cell>
          <cell r="H1422">
            <v>639776.06000000006</v>
          </cell>
          <cell r="I1422">
            <v>575043.64</v>
          </cell>
          <cell r="J1422">
            <v>48389.279999999999</v>
          </cell>
          <cell r="K1422">
            <v>16343.17</v>
          </cell>
          <cell r="L1422">
            <v>0</v>
          </cell>
        </row>
        <row r="1423">
          <cell r="A1423">
            <v>5</v>
          </cell>
          <cell r="B1423">
            <v>9</v>
          </cell>
          <cell r="C1423">
            <v>395</v>
          </cell>
          <cell r="D1423" t="str">
            <v xml:space="preserve">  </v>
          </cell>
          <cell r="E1423" t="str">
            <v xml:space="preserve">    </v>
          </cell>
          <cell r="F1423" t="str">
            <v xml:space="preserve">   </v>
          </cell>
          <cell r="G1423">
            <v>59395</v>
          </cell>
          <cell r="H1423">
            <v>640050.6</v>
          </cell>
          <cell r="I1423">
            <v>575318.01</v>
          </cell>
          <cell r="J1423">
            <v>48389.35</v>
          </cell>
          <cell r="K1423">
            <v>16343.25</v>
          </cell>
          <cell r="L1423">
            <v>0</v>
          </cell>
        </row>
        <row r="1424">
          <cell r="A1424">
            <v>3</v>
          </cell>
          <cell r="B1424">
            <v>9</v>
          </cell>
          <cell r="C1424">
            <v>396</v>
          </cell>
          <cell r="D1424" t="str">
            <v xml:space="preserve">  </v>
          </cell>
          <cell r="E1424" t="str">
            <v xml:space="preserve">    </v>
          </cell>
          <cell r="F1424" t="str">
            <v xml:space="preserve">   </v>
          </cell>
          <cell r="G1424">
            <v>39396</v>
          </cell>
          <cell r="H1424">
            <v>758878.64</v>
          </cell>
          <cell r="I1424">
            <v>288023.34999999998</v>
          </cell>
          <cell r="J1424">
            <v>316068.15999999997</v>
          </cell>
          <cell r="K1424">
            <v>154787.13</v>
          </cell>
          <cell r="L1424">
            <v>0</v>
          </cell>
        </row>
        <row r="1425">
          <cell r="A1425">
            <v>4</v>
          </cell>
          <cell r="B1425">
            <v>9</v>
          </cell>
          <cell r="C1425">
            <v>396</v>
          </cell>
          <cell r="D1425" t="str">
            <v xml:space="preserve">  </v>
          </cell>
          <cell r="E1425" t="str">
            <v xml:space="preserve">    </v>
          </cell>
          <cell r="F1425" t="str">
            <v xml:space="preserve">   </v>
          </cell>
          <cell r="G1425">
            <v>49396</v>
          </cell>
          <cell r="H1425">
            <v>758878.34</v>
          </cell>
          <cell r="I1425">
            <v>288023.31</v>
          </cell>
          <cell r="J1425">
            <v>316068.02</v>
          </cell>
          <cell r="K1425">
            <v>154787.06</v>
          </cell>
          <cell r="L1425">
            <v>0</v>
          </cell>
        </row>
        <row r="1426">
          <cell r="A1426">
            <v>5</v>
          </cell>
          <cell r="B1426">
            <v>9</v>
          </cell>
          <cell r="C1426">
            <v>396</v>
          </cell>
          <cell r="D1426" t="str">
            <v xml:space="preserve">  </v>
          </cell>
          <cell r="E1426" t="str">
            <v xml:space="preserve">    </v>
          </cell>
          <cell r="F1426" t="str">
            <v xml:space="preserve">   </v>
          </cell>
          <cell r="G1426">
            <v>59396</v>
          </cell>
          <cell r="H1426">
            <v>758878.62</v>
          </cell>
          <cell r="I1426">
            <v>288023.36</v>
          </cell>
          <cell r="J1426">
            <v>316068.15000000002</v>
          </cell>
          <cell r="K1426">
            <v>154787.12</v>
          </cell>
          <cell r="L1426">
            <v>0</v>
          </cell>
        </row>
        <row r="1427">
          <cell r="A1427">
            <v>3</v>
          </cell>
          <cell r="B1427">
            <v>9</v>
          </cell>
          <cell r="C1427">
            <v>397</v>
          </cell>
          <cell r="D1427" t="str">
            <v xml:space="preserve">  </v>
          </cell>
          <cell r="E1427" t="str">
            <v xml:space="preserve">    </v>
          </cell>
          <cell r="F1427" t="str">
            <v xml:space="preserve">   </v>
          </cell>
          <cell r="G1427">
            <v>39397</v>
          </cell>
          <cell r="H1427">
            <v>7458384.0999999996</v>
          </cell>
          <cell r="I1427">
            <v>6193818.25</v>
          </cell>
          <cell r="J1427">
            <v>492228.25</v>
          </cell>
          <cell r="K1427">
            <v>772337.6</v>
          </cell>
          <cell r="L1427">
            <v>0</v>
          </cell>
        </row>
        <row r="1428">
          <cell r="A1428">
            <v>4</v>
          </cell>
          <cell r="B1428">
            <v>9</v>
          </cell>
          <cell r="C1428">
            <v>397</v>
          </cell>
          <cell r="D1428" t="str">
            <v xml:space="preserve">  </v>
          </cell>
          <cell r="E1428" t="str">
            <v xml:space="preserve">    </v>
          </cell>
          <cell r="F1428" t="str">
            <v xml:space="preserve">   </v>
          </cell>
          <cell r="G1428">
            <v>49397</v>
          </cell>
          <cell r="H1428">
            <v>7473280.5599999996</v>
          </cell>
          <cell r="I1428">
            <v>6200757.8700000001</v>
          </cell>
          <cell r="J1428">
            <v>492228.13</v>
          </cell>
          <cell r="K1428">
            <v>780294.59</v>
          </cell>
          <cell r="L1428">
            <v>0</v>
          </cell>
        </row>
        <row r="1429">
          <cell r="A1429">
            <v>5</v>
          </cell>
          <cell r="B1429">
            <v>9</v>
          </cell>
          <cell r="C1429">
            <v>397</v>
          </cell>
          <cell r="D1429" t="str">
            <v xml:space="preserve">  </v>
          </cell>
          <cell r="E1429" t="str">
            <v xml:space="preserve">    </v>
          </cell>
          <cell r="F1429" t="str">
            <v xml:space="preserve">   </v>
          </cell>
          <cell r="G1429">
            <v>59397</v>
          </cell>
          <cell r="H1429">
            <v>7458234.0999999996</v>
          </cell>
          <cell r="I1429">
            <v>6193668.2599999998</v>
          </cell>
          <cell r="J1429">
            <v>492228.24</v>
          </cell>
          <cell r="K1429">
            <v>772337.6</v>
          </cell>
          <cell r="L1429">
            <v>0</v>
          </cell>
        </row>
        <row r="1430">
          <cell r="A1430">
            <v>3</v>
          </cell>
          <cell r="B1430">
            <v>9</v>
          </cell>
          <cell r="C1430">
            <v>398</v>
          </cell>
          <cell r="D1430" t="str">
            <v xml:space="preserve">  </v>
          </cell>
          <cell r="E1430" t="str">
            <v xml:space="preserve">    </v>
          </cell>
          <cell r="F1430" t="str">
            <v xml:space="preserve">   </v>
          </cell>
          <cell r="G1430">
            <v>39398</v>
          </cell>
          <cell r="H1430">
            <v>20029.29</v>
          </cell>
          <cell r="I1430">
            <v>7887.55</v>
          </cell>
          <cell r="J1430">
            <v>6025</v>
          </cell>
          <cell r="K1430">
            <v>6116.74</v>
          </cell>
          <cell r="L1430">
            <v>0</v>
          </cell>
        </row>
        <row r="1431">
          <cell r="A1431">
            <v>4</v>
          </cell>
          <cell r="B1431">
            <v>9</v>
          </cell>
          <cell r="C1431">
            <v>398</v>
          </cell>
          <cell r="D1431" t="str">
            <v xml:space="preserve">  </v>
          </cell>
          <cell r="E1431" t="str">
            <v xml:space="preserve">    </v>
          </cell>
          <cell r="F1431" t="str">
            <v xml:space="preserve">   </v>
          </cell>
          <cell r="G1431">
            <v>49398</v>
          </cell>
          <cell r="H1431">
            <v>20028.93</v>
          </cell>
          <cell r="I1431">
            <v>7887.47</v>
          </cell>
          <cell r="J1431">
            <v>6024.84</v>
          </cell>
          <cell r="K1431">
            <v>6116.64</v>
          </cell>
          <cell r="L1431">
            <v>0</v>
          </cell>
        </row>
        <row r="1432">
          <cell r="A1432">
            <v>5</v>
          </cell>
          <cell r="B1432">
            <v>9</v>
          </cell>
          <cell r="C1432">
            <v>398</v>
          </cell>
          <cell r="D1432" t="str">
            <v xml:space="preserve">  </v>
          </cell>
          <cell r="E1432" t="str">
            <v xml:space="preserve">    </v>
          </cell>
          <cell r="F1432" t="str">
            <v xml:space="preserve">   </v>
          </cell>
          <cell r="G1432">
            <v>59398</v>
          </cell>
          <cell r="H1432">
            <v>20029.25</v>
          </cell>
          <cell r="I1432">
            <v>7887.54</v>
          </cell>
          <cell r="J1432">
            <v>6024.99</v>
          </cell>
          <cell r="K1432">
            <v>6116.73</v>
          </cell>
          <cell r="L1432">
            <v>0</v>
          </cell>
        </row>
        <row r="1433">
          <cell r="A1433">
            <v>3</v>
          </cell>
          <cell r="B1433">
            <v>0</v>
          </cell>
          <cell r="C1433">
            <v>108</v>
          </cell>
          <cell r="D1433" t="str">
            <v>X1</v>
          </cell>
          <cell r="E1433" t="str">
            <v xml:space="preserve">    </v>
          </cell>
          <cell r="F1433" t="str">
            <v xml:space="preserve">   </v>
          </cell>
          <cell r="G1433" t="str">
            <v xml:space="preserve">30108X1       </v>
          </cell>
          <cell r="H1433">
            <v>-182827230.97999999</v>
          </cell>
          <cell r="I1433">
            <v>-182827230.97999999</v>
          </cell>
          <cell r="J1433">
            <v>0</v>
          </cell>
          <cell r="K1433">
            <v>0</v>
          </cell>
          <cell r="L1433">
            <v>0</v>
          </cell>
        </row>
        <row r="1434">
          <cell r="A1434">
            <v>4</v>
          </cell>
          <cell r="B1434">
            <v>0</v>
          </cell>
          <cell r="C1434">
            <v>108</v>
          </cell>
          <cell r="D1434" t="str">
            <v>X1</v>
          </cell>
          <cell r="E1434" t="str">
            <v xml:space="preserve">    </v>
          </cell>
          <cell r="F1434" t="str">
            <v xml:space="preserve">   </v>
          </cell>
          <cell r="G1434" t="str">
            <v xml:space="preserve">40108X1       </v>
          </cell>
          <cell r="H1434">
            <v>-179582377.94999999</v>
          </cell>
          <cell r="I1434">
            <v>-179582377.94999999</v>
          </cell>
          <cell r="J1434">
            <v>0</v>
          </cell>
          <cell r="K1434">
            <v>0</v>
          </cell>
          <cell r="L1434">
            <v>0</v>
          </cell>
        </row>
        <row r="1435">
          <cell r="A1435">
            <v>5</v>
          </cell>
          <cell r="B1435">
            <v>0</v>
          </cell>
          <cell r="C1435">
            <v>108</v>
          </cell>
          <cell r="D1435" t="str">
            <v>X1</v>
          </cell>
          <cell r="E1435" t="str">
            <v xml:space="preserve">    </v>
          </cell>
          <cell r="F1435" t="str">
            <v xml:space="preserve">   </v>
          </cell>
          <cell r="G1435" t="str">
            <v xml:space="preserve">50108X1       </v>
          </cell>
          <cell r="H1435">
            <v>-183961508.99000001</v>
          </cell>
          <cell r="I1435">
            <v>-183961508.99000001</v>
          </cell>
          <cell r="J1435">
            <v>0</v>
          </cell>
          <cell r="K1435">
            <v>0</v>
          </cell>
          <cell r="L1435">
            <v>0</v>
          </cell>
        </row>
        <row r="1436">
          <cell r="A1436">
            <v>3</v>
          </cell>
          <cell r="B1436">
            <v>0</v>
          </cell>
          <cell r="C1436">
            <v>108</v>
          </cell>
          <cell r="D1436" t="str">
            <v>X2</v>
          </cell>
          <cell r="E1436" t="str">
            <v xml:space="preserve">    </v>
          </cell>
          <cell r="F1436" t="str">
            <v xml:space="preserve">   </v>
          </cell>
          <cell r="G1436" t="str">
            <v xml:space="preserve">30108X2       </v>
          </cell>
          <cell r="H1436">
            <v>-46147168.57</v>
          </cell>
          <cell r="I1436">
            <v>-46147168.57</v>
          </cell>
          <cell r="J1436">
            <v>0</v>
          </cell>
          <cell r="K1436">
            <v>0</v>
          </cell>
          <cell r="L1436">
            <v>0</v>
          </cell>
        </row>
        <row r="1437">
          <cell r="A1437">
            <v>4</v>
          </cell>
          <cell r="B1437">
            <v>0</v>
          </cell>
          <cell r="C1437">
            <v>108</v>
          </cell>
          <cell r="D1437" t="str">
            <v>X2</v>
          </cell>
          <cell r="E1437" t="str">
            <v xml:space="preserve">    </v>
          </cell>
          <cell r="F1437" t="str">
            <v xml:space="preserve">   </v>
          </cell>
          <cell r="G1437" t="str">
            <v xml:space="preserve">40108X2       </v>
          </cell>
          <cell r="H1437">
            <v>-44660905.939999998</v>
          </cell>
          <cell r="I1437">
            <v>-44660905.939999998</v>
          </cell>
          <cell r="J1437">
            <v>0</v>
          </cell>
          <cell r="K1437">
            <v>0</v>
          </cell>
          <cell r="L1437">
            <v>0</v>
          </cell>
        </row>
        <row r="1438">
          <cell r="A1438">
            <v>5</v>
          </cell>
          <cell r="B1438">
            <v>0</v>
          </cell>
          <cell r="C1438">
            <v>108</v>
          </cell>
          <cell r="D1438" t="str">
            <v>X2</v>
          </cell>
          <cell r="E1438" t="str">
            <v xml:space="preserve">    </v>
          </cell>
          <cell r="F1438" t="str">
            <v xml:space="preserve">   </v>
          </cell>
          <cell r="G1438" t="str">
            <v xml:space="preserve">50108X2       </v>
          </cell>
          <cell r="H1438">
            <v>-46007003.219999999</v>
          </cell>
          <cell r="I1438">
            <v>-46007003.219999999</v>
          </cell>
          <cell r="J1438">
            <v>0</v>
          </cell>
          <cell r="K1438">
            <v>0</v>
          </cell>
          <cell r="L1438">
            <v>0</v>
          </cell>
        </row>
        <row r="1439">
          <cell r="A1439">
            <v>3</v>
          </cell>
          <cell r="B1439">
            <v>0</v>
          </cell>
          <cell r="C1439">
            <v>108</v>
          </cell>
          <cell r="D1439" t="str">
            <v>X3</v>
          </cell>
          <cell r="E1439" t="str">
            <v xml:space="preserve">    </v>
          </cell>
          <cell r="F1439" t="str">
            <v xml:space="preserve">   </v>
          </cell>
          <cell r="G1439" t="str">
            <v xml:space="preserve">30108X3       </v>
          </cell>
          <cell r="H1439">
            <v>-8847363.3000000007</v>
          </cell>
          <cell r="I1439">
            <v>-8847363.3000000007</v>
          </cell>
          <cell r="J1439">
            <v>0</v>
          </cell>
          <cell r="K1439">
            <v>0</v>
          </cell>
          <cell r="L1439">
            <v>0</v>
          </cell>
        </row>
        <row r="1440">
          <cell r="A1440">
            <v>4</v>
          </cell>
          <cell r="B1440">
            <v>0</v>
          </cell>
          <cell r="C1440">
            <v>108</v>
          </cell>
          <cell r="D1440" t="str">
            <v>X3</v>
          </cell>
          <cell r="E1440" t="str">
            <v xml:space="preserve">    </v>
          </cell>
          <cell r="F1440" t="str">
            <v xml:space="preserve">   </v>
          </cell>
          <cell r="G1440" t="str">
            <v xml:space="preserve">40108X3       </v>
          </cell>
          <cell r="H1440">
            <v>-8594803.9700000007</v>
          </cell>
          <cell r="I1440">
            <v>-8594803.9700000007</v>
          </cell>
          <cell r="J1440">
            <v>0</v>
          </cell>
          <cell r="K1440">
            <v>0</v>
          </cell>
          <cell r="L1440">
            <v>0</v>
          </cell>
        </row>
        <row r="1441">
          <cell r="A1441">
            <v>5</v>
          </cell>
          <cell r="B1441">
            <v>0</v>
          </cell>
          <cell r="C1441">
            <v>108</v>
          </cell>
          <cell r="D1441" t="str">
            <v>X3</v>
          </cell>
          <cell r="E1441" t="str">
            <v xml:space="preserve">    </v>
          </cell>
          <cell r="F1441" t="str">
            <v xml:space="preserve">   </v>
          </cell>
          <cell r="G1441" t="str">
            <v xml:space="preserve">50108X3       </v>
          </cell>
          <cell r="H1441">
            <v>-8826141.2899999991</v>
          </cell>
          <cell r="I1441">
            <v>-8826141.2899999991</v>
          </cell>
          <cell r="J1441">
            <v>0</v>
          </cell>
          <cell r="K1441">
            <v>0</v>
          </cell>
          <cell r="L1441">
            <v>0</v>
          </cell>
        </row>
        <row r="1442">
          <cell r="A1442">
            <v>3</v>
          </cell>
          <cell r="B1442">
            <v>0</v>
          </cell>
          <cell r="C1442">
            <v>108</v>
          </cell>
          <cell r="D1442" t="str">
            <v>X4</v>
          </cell>
          <cell r="E1442" t="str">
            <v xml:space="preserve">    </v>
          </cell>
          <cell r="F1442" t="str">
            <v xml:space="preserve">   </v>
          </cell>
          <cell r="G1442" t="str">
            <v xml:space="preserve">30108X4       </v>
          </cell>
          <cell r="H1442">
            <v>-84848568.310000002</v>
          </cell>
          <cell r="I1442">
            <v>-84848568.310000002</v>
          </cell>
          <cell r="J1442">
            <v>0</v>
          </cell>
          <cell r="K1442">
            <v>0</v>
          </cell>
          <cell r="L1442">
            <v>0</v>
          </cell>
        </row>
        <row r="1443">
          <cell r="A1443">
            <v>4</v>
          </cell>
          <cell r="B1443">
            <v>0</v>
          </cell>
          <cell r="C1443">
            <v>108</v>
          </cell>
          <cell r="D1443" t="str">
            <v>X4</v>
          </cell>
          <cell r="E1443" t="str">
            <v xml:space="preserve">    </v>
          </cell>
          <cell r="F1443" t="str">
            <v xml:space="preserve">   </v>
          </cell>
          <cell r="G1443" t="str">
            <v xml:space="preserve">40108X4       </v>
          </cell>
          <cell r="H1443">
            <v>-82423252.120000005</v>
          </cell>
          <cell r="I1443">
            <v>-82423252.120000005</v>
          </cell>
          <cell r="J1443">
            <v>0</v>
          </cell>
          <cell r="K1443">
            <v>0</v>
          </cell>
          <cell r="L1443">
            <v>0</v>
          </cell>
        </row>
        <row r="1444">
          <cell r="A1444">
            <v>5</v>
          </cell>
          <cell r="B1444">
            <v>0</v>
          </cell>
          <cell r="C1444">
            <v>108</v>
          </cell>
          <cell r="D1444" t="str">
            <v>X4</v>
          </cell>
          <cell r="E1444" t="str">
            <v xml:space="preserve">    </v>
          </cell>
          <cell r="F1444" t="str">
            <v xml:space="preserve">   </v>
          </cell>
          <cell r="G1444" t="str">
            <v xml:space="preserve">50108X4       </v>
          </cell>
          <cell r="H1444">
            <v>-84849608.390000001</v>
          </cell>
          <cell r="I1444">
            <v>-84849608.390000001</v>
          </cell>
          <cell r="J1444">
            <v>0</v>
          </cell>
          <cell r="K1444">
            <v>0</v>
          </cell>
          <cell r="L1444">
            <v>0</v>
          </cell>
        </row>
        <row r="1445">
          <cell r="A1445">
            <v>3</v>
          </cell>
          <cell r="B1445">
            <v>0</v>
          </cell>
          <cell r="C1445">
            <v>108</v>
          </cell>
          <cell r="D1445" t="str">
            <v>X5</v>
          </cell>
          <cell r="E1445" t="str">
            <v xml:space="preserve">    </v>
          </cell>
          <cell r="F1445" t="str">
            <v xml:space="preserve">   </v>
          </cell>
          <cell r="G1445" t="str">
            <v xml:space="preserve">30108X5       </v>
          </cell>
          <cell r="H1445">
            <v>-163517292.65000001</v>
          </cell>
          <cell r="I1445">
            <v>-163517292.65000001</v>
          </cell>
          <cell r="J1445">
            <v>0</v>
          </cell>
          <cell r="K1445">
            <v>0</v>
          </cell>
          <cell r="L1445">
            <v>0</v>
          </cell>
        </row>
        <row r="1446">
          <cell r="A1446">
            <v>4</v>
          </cell>
          <cell r="B1446">
            <v>0</v>
          </cell>
          <cell r="C1446">
            <v>108</v>
          </cell>
          <cell r="D1446" t="str">
            <v>X5</v>
          </cell>
          <cell r="E1446" t="str">
            <v xml:space="preserve">    </v>
          </cell>
          <cell r="F1446" t="str">
            <v xml:space="preserve">   </v>
          </cell>
          <cell r="G1446" t="str">
            <v xml:space="preserve">40108X5       </v>
          </cell>
          <cell r="H1446">
            <v>-160678758.38999999</v>
          </cell>
          <cell r="I1446">
            <v>-160678758.38999999</v>
          </cell>
          <cell r="J1446">
            <v>0</v>
          </cell>
          <cell r="K1446">
            <v>0</v>
          </cell>
          <cell r="L1446">
            <v>0</v>
          </cell>
        </row>
        <row r="1447">
          <cell r="A1447">
            <v>5</v>
          </cell>
          <cell r="B1447">
            <v>0</v>
          </cell>
          <cell r="C1447">
            <v>108</v>
          </cell>
          <cell r="D1447" t="str">
            <v>X5</v>
          </cell>
          <cell r="E1447" t="str">
            <v xml:space="preserve">    </v>
          </cell>
          <cell r="F1447" t="str">
            <v xml:space="preserve">   </v>
          </cell>
          <cell r="G1447" t="str">
            <v xml:space="preserve">50108X5       </v>
          </cell>
          <cell r="H1447">
            <v>-163965640.25999999</v>
          </cell>
          <cell r="I1447">
            <v>-163965640.25999999</v>
          </cell>
          <cell r="J1447">
            <v>0</v>
          </cell>
          <cell r="K1447">
            <v>0</v>
          </cell>
          <cell r="L1447">
            <v>0</v>
          </cell>
        </row>
        <row r="1448">
          <cell r="A1448">
            <v>3</v>
          </cell>
          <cell r="B1448">
            <v>0</v>
          </cell>
          <cell r="C1448">
            <v>108</v>
          </cell>
          <cell r="D1448" t="str">
            <v>X6</v>
          </cell>
          <cell r="E1448" t="str">
            <v xml:space="preserve">    </v>
          </cell>
          <cell r="F1448" t="str">
            <v xml:space="preserve">   </v>
          </cell>
          <cell r="G1448" t="str">
            <v xml:space="preserve">30108X6       </v>
          </cell>
          <cell r="H1448">
            <v>-9342100.1799999997</v>
          </cell>
          <cell r="I1448">
            <v>-9342100.1799999997</v>
          </cell>
          <cell r="J1448">
            <v>0</v>
          </cell>
          <cell r="K1448">
            <v>0</v>
          </cell>
          <cell r="L1448">
            <v>0</v>
          </cell>
        </row>
        <row r="1449">
          <cell r="A1449">
            <v>4</v>
          </cell>
          <cell r="B1449">
            <v>0</v>
          </cell>
          <cell r="C1449">
            <v>108</v>
          </cell>
          <cell r="D1449" t="str">
            <v>X6</v>
          </cell>
          <cell r="E1449" t="str">
            <v xml:space="preserve">    </v>
          </cell>
          <cell r="F1449" t="str">
            <v xml:space="preserve">   </v>
          </cell>
          <cell r="G1449" t="str">
            <v xml:space="preserve">40108X6       </v>
          </cell>
          <cell r="H1449">
            <v>-11027929.33</v>
          </cell>
          <cell r="I1449">
            <v>-11027929.33</v>
          </cell>
          <cell r="J1449">
            <v>0</v>
          </cell>
          <cell r="K1449">
            <v>0</v>
          </cell>
          <cell r="L1449">
            <v>0</v>
          </cell>
        </row>
        <row r="1450">
          <cell r="A1450">
            <v>5</v>
          </cell>
          <cell r="B1450">
            <v>0</v>
          </cell>
          <cell r="C1450">
            <v>108</v>
          </cell>
          <cell r="D1450" t="str">
            <v>X6</v>
          </cell>
          <cell r="E1450" t="str">
            <v xml:space="preserve">    </v>
          </cell>
          <cell r="F1450" t="str">
            <v xml:space="preserve">   </v>
          </cell>
          <cell r="G1450" t="str">
            <v xml:space="preserve">50108X6       </v>
          </cell>
          <cell r="H1450">
            <v>-9364056.4600000009</v>
          </cell>
          <cell r="I1450">
            <v>-9364056.4600000009</v>
          </cell>
          <cell r="J1450">
            <v>0</v>
          </cell>
          <cell r="K1450">
            <v>0</v>
          </cell>
          <cell r="L1450">
            <v>0</v>
          </cell>
        </row>
        <row r="1451">
          <cell r="A1451">
            <v>3</v>
          </cell>
          <cell r="B1451">
            <v>0</v>
          </cell>
          <cell r="C1451">
            <v>108</v>
          </cell>
          <cell r="D1451" t="str">
            <v>X7</v>
          </cell>
          <cell r="E1451" t="str">
            <v xml:space="preserve">    </v>
          </cell>
          <cell r="F1451" t="str">
            <v xml:space="preserve">   </v>
          </cell>
          <cell r="G1451" t="str">
            <v xml:space="preserve">30108X7       </v>
          </cell>
          <cell r="H1451">
            <v>-10961477.26</v>
          </cell>
          <cell r="I1451">
            <v>-10961477.26</v>
          </cell>
          <cell r="J1451">
            <v>0</v>
          </cell>
          <cell r="K1451">
            <v>0</v>
          </cell>
          <cell r="L1451">
            <v>0</v>
          </cell>
        </row>
        <row r="1452">
          <cell r="A1452">
            <v>4</v>
          </cell>
          <cell r="B1452">
            <v>0</v>
          </cell>
          <cell r="C1452">
            <v>108</v>
          </cell>
          <cell r="D1452" t="str">
            <v>X7</v>
          </cell>
          <cell r="E1452" t="str">
            <v xml:space="preserve">    </v>
          </cell>
          <cell r="F1452" t="str">
            <v xml:space="preserve">   </v>
          </cell>
          <cell r="G1452" t="str">
            <v xml:space="preserve">40108X7       </v>
          </cell>
          <cell r="H1452">
            <v>-10424286.800000001</v>
          </cell>
          <cell r="I1452">
            <v>-10424286.800000001</v>
          </cell>
          <cell r="J1452">
            <v>0</v>
          </cell>
          <cell r="K1452">
            <v>0</v>
          </cell>
          <cell r="L1452">
            <v>0</v>
          </cell>
        </row>
        <row r="1453">
          <cell r="A1453">
            <v>5</v>
          </cell>
          <cell r="B1453">
            <v>0</v>
          </cell>
          <cell r="C1453">
            <v>108</v>
          </cell>
          <cell r="D1453" t="str">
            <v>X7</v>
          </cell>
          <cell r="E1453" t="str">
            <v xml:space="preserve">    </v>
          </cell>
          <cell r="F1453" t="str">
            <v xml:space="preserve">   </v>
          </cell>
          <cell r="G1453" t="str">
            <v xml:space="preserve">50108X7       </v>
          </cell>
          <cell r="H1453">
            <v>-10906492.09</v>
          </cell>
          <cell r="I1453">
            <v>-10906492.09</v>
          </cell>
          <cell r="J1453">
            <v>0</v>
          </cell>
          <cell r="K1453">
            <v>0</v>
          </cell>
          <cell r="L1453">
            <v>0</v>
          </cell>
        </row>
        <row r="1454">
          <cell r="A1454">
            <v>3</v>
          </cell>
          <cell r="B1454">
            <v>1</v>
          </cell>
          <cell r="C1454">
            <v>119</v>
          </cell>
          <cell r="D1454" t="str">
            <v>X1</v>
          </cell>
          <cell r="E1454" t="str">
            <v xml:space="preserve">    </v>
          </cell>
          <cell r="F1454" t="str">
            <v xml:space="preserve">   </v>
          </cell>
          <cell r="G1454" t="str">
            <v xml:space="preserve">31119X1       </v>
          </cell>
          <cell r="H1454">
            <v>-8205040.5599999996</v>
          </cell>
          <cell r="I1454">
            <v>-8205040.5599999996</v>
          </cell>
          <cell r="J1454">
            <v>0</v>
          </cell>
          <cell r="K1454">
            <v>0</v>
          </cell>
          <cell r="L1454">
            <v>0</v>
          </cell>
        </row>
        <row r="1455">
          <cell r="A1455">
            <v>4</v>
          </cell>
          <cell r="B1455">
            <v>1</v>
          </cell>
          <cell r="C1455">
            <v>119</v>
          </cell>
          <cell r="D1455" t="str">
            <v>X1</v>
          </cell>
          <cell r="E1455" t="str">
            <v xml:space="preserve">    </v>
          </cell>
          <cell r="F1455" t="str">
            <v xml:space="preserve">   </v>
          </cell>
          <cell r="G1455" t="str">
            <v xml:space="preserve">41119X1       </v>
          </cell>
          <cell r="H1455">
            <v>-7983201.7300000004</v>
          </cell>
          <cell r="I1455">
            <v>-7983201.7300000004</v>
          </cell>
          <cell r="J1455">
            <v>0</v>
          </cell>
          <cell r="K1455">
            <v>0</v>
          </cell>
          <cell r="L1455">
            <v>0</v>
          </cell>
        </row>
        <row r="1456">
          <cell r="A1456">
            <v>5</v>
          </cell>
          <cell r="B1456">
            <v>1</v>
          </cell>
          <cell r="C1456">
            <v>119</v>
          </cell>
          <cell r="D1456" t="str">
            <v>X1</v>
          </cell>
          <cell r="E1456" t="str">
            <v xml:space="preserve">    </v>
          </cell>
          <cell r="F1456" t="str">
            <v xml:space="preserve">   </v>
          </cell>
          <cell r="G1456" t="str">
            <v xml:space="preserve">51119X1       </v>
          </cell>
          <cell r="H1456">
            <v>-8187650.5499999998</v>
          </cell>
          <cell r="I1456">
            <v>-8187650.5499999998</v>
          </cell>
          <cell r="J1456">
            <v>0</v>
          </cell>
          <cell r="K1456">
            <v>0</v>
          </cell>
          <cell r="L1456">
            <v>0</v>
          </cell>
        </row>
        <row r="1457">
          <cell r="A1457">
            <v>3</v>
          </cell>
          <cell r="B1457">
            <v>1</v>
          </cell>
          <cell r="C1457">
            <v>119</v>
          </cell>
          <cell r="D1457" t="str">
            <v>X5</v>
          </cell>
          <cell r="E1457" t="str">
            <v xml:space="preserve">    </v>
          </cell>
          <cell r="F1457" t="str">
            <v xml:space="preserve">   </v>
          </cell>
          <cell r="G1457" t="str">
            <v xml:space="preserve">31119X5       </v>
          </cell>
          <cell r="H1457">
            <v>-62411574.109999999</v>
          </cell>
          <cell r="I1457">
            <v>-62411574.109999999</v>
          </cell>
          <cell r="J1457">
            <v>0</v>
          </cell>
          <cell r="K1457">
            <v>0</v>
          </cell>
          <cell r="L1457">
            <v>0</v>
          </cell>
        </row>
        <row r="1458">
          <cell r="A1458">
            <v>4</v>
          </cell>
          <cell r="B1458">
            <v>1</v>
          </cell>
          <cell r="C1458">
            <v>119</v>
          </cell>
          <cell r="D1458" t="str">
            <v>X5</v>
          </cell>
          <cell r="E1458" t="str">
            <v xml:space="preserve">    </v>
          </cell>
          <cell r="F1458" t="str">
            <v xml:space="preserve">   </v>
          </cell>
          <cell r="G1458" t="str">
            <v xml:space="preserve">41119X5       </v>
          </cell>
          <cell r="H1458">
            <v>-60437905.420000002</v>
          </cell>
          <cell r="I1458">
            <v>-60437905.420000002</v>
          </cell>
          <cell r="J1458">
            <v>0</v>
          </cell>
          <cell r="K1458">
            <v>0</v>
          </cell>
          <cell r="L1458">
            <v>0</v>
          </cell>
        </row>
        <row r="1459">
          <cell r="A1459">
            <v>5</v>
          </cell>
          <cell r="B1459">
            <v>1</v>
          </cell>
          <cell r="C1459">
            <v>119</v>
          </cell>
          <cell r="D1459" t="str">
            <v>X5</v>
          </cell>
          <cell r="E1459" t="str">
            <v xml:space="preserve">    </v>
          </cell>
          <cell r="F1459" t="str">
            <v xml:space="preserve">   </v>
          </cell>
          <cell r="G1459" t="str">
            <v xml:space="preserve">51119X5       </v>
          </cell>
          <cell r="H1459">
            <v>-62385934.899999999</v>
          </cell>
          <cell r="I1459">
            <v>-62385934.899999999</v>
          </cell>
          <cell r="J1459">
            <v>0</v>
          </cell>
          <cell r="K1459">
            <v>0</v>
          </cell>
          <cell r="L1459">
            <v>0</v>
          </cell>
        </row>
        <row r="1460">
          <cell r="A1460">
            <v>3</v>
          </cell>
          <cell r="B1460">
            <v>1</v>
          </cell>
          <cell r="C1460">
            <v>119</v>
          </cell>
          <cell r="D1460" t="str">
            <v>X6</v>
          </cell>
          <cell r="E1460" t="str">
            <v xml:space="preserve">    </v>
          </cell>
          <cell r="F1460" t="str">
            <v xml:space="preserve">   </v>
          </cell>
          <cell r="G1460" t="str">
            <v xml:space="preserve">31119X6       </v>
          </cell>
          <cell r="H1460">
            <v>-1128089.07</v>
          </cell>
          <cell r="I1460">
            <v>-1128089.07</v>
          </cell>
          <cell r="J1460">
            <v>0</v>
          </cell>
          <cell r="K1460">
            <v>0</v>
          </cell>
          <cell r="L1460">
            <v>0</v>
          </cell>
        </row>
        <row r="1461">
          <cell r="A1461">
            <v>4</v>
          </cell>
          <cell r="B1461">
            <v>1</v>
          </cell>
          <cell r="C1461">
            <v>119</v>
          </cell>
          <cell r="D1461" t="str">
            <v>X6</v>
          </cell>
          <cell r="E1461" t="str">
            <v xml:space="preserve">    </v>
          </cell>
          <cell r="F1461" t="str">
            <v xml:space="preserve">   </v>
          </cell>
          <cell r="G1461" t="str">
            <v xml:space="preserve">41119X6       </v>
          </cell>
          <cell r="H1461">
            <v>-1079946.98</v>
          </cell>
          <cell r="I1461">
            <v>-1079946.98</v>
          </cell>
          <cell r="J1461">
            <v>0</v>
          </cell>
          <cell r="K1461">
            <v>0</v>
          </cell>
          <cell r="L1461">
            <v>0</v>
          </cell>
        </row>
        <row r="1462">
          <cell r="A1462">
            <v>5</v>
          </cell>
          <cell r="B1462">
            <v>1</v>
          </cell>
          <cell r="C1462">
            <v>119</v>
          </cell>
          <cell r="D1462" t="str">
            <v>X6</v>
          </cell>
          <cell r="E1462" t="str">
            <v xml:space="preserve">    </v>
          </cell>
          <cell r="F1462" t="str">
            <v xml:space="preserve">   </v>
          </cell>
          <cell r="G1462" t="str">
            <v xml:space="preserve">51119X6       </v>
          </cell>
          <cell r="H1462">
            <v>-1123440.05</v>
          </cell>
          <cell r="I1462">
            <v>-1123440.05</v>
          </cell>
          <cell r="J1462">
            <v>0</v>
          </cell>
          <cell r="K1462">
            <v>0</v>
          </cell>
          <cell r="L1462">
            <v>0</v>
          </cell>
        </row>
        <row r="1463">
          <cell r="A1463">
            <v>3</v>
          </cell>
          <cell r="B1463">
            <v>1</v>
          </cell>
          <cell r="C1463">
            <v>119</v>
          </cell>
          <cell r="D1463" t="str">
            <v>X7</v>
          </cell>
          <cell r="E1463" t="str">
            <v xml:space="preserve">    </v>
          </cell>
          <cell r="F1463" t="str">
            <v xml:space="preserve">   </v>
          </cell>
          <cell r="G1463" t="str">
            <v xml:space="preserve">31119X7       </v>
          </cell>
          <cell r="H1463">
            <v>-1488986.48</v>
          </cell>
          <cell r="I1463">
            <v>-1488986.48</v>
          </cell>
          <cell r="J1463">
            <v>0</v>
          </cell>
          <cell r="K1463">
            <v>0</v>
          </cell>
          <cell r="L1463">
            <v>0</v>
          </cell>
        </row>
        <row r="1464">
          <cell r="A1464">
            <v>4</v>
          </cell>
          <cell r="B1464">
            <v>1</v>
          </cell>
          <cell r="C1464">
            <v>119</v>
          </cell>
          <cell r="D1464" t="str">
            <v>X7</v>
          </cell>
          <cell r="E1464" t="str">
            <v xml:space="preserve">    </v>
          </cell>
          <cell r="F1464" t="str">
            <v xml:space="preserve">   </v>
          </cell>
          <cell r="G1464" t="str">
            <v xml:space="preserve">41119X7       </v>
          </cell>
          <cell r="H1464">
            <v>-1395657.12</v>
          </cell>
          <cell r="I1464">
            <v>-1395657.12</v>
          </cell>
          <cell r="J1464">
            <v>0</v>
          </cell>
          <cell r="K1464">
            <v>0</v>
          </cell>
          <cell r="L1464">
            <v>0</v>
          </cell>
        </row>
        <row r="1465">
          <cell r="A1465">
            <v>5</v>
          </cell>
          <cell r="B1465">
            <v>1</v>
          </cell>
          <cell r="C1465">
            <v>119</v>
          </cell>
          <cell r="D1465" t="str">
            <v>X7</v>
          </cell>
          <cell r="E1465" t="str">
            <v xml:space="preserve">    </v>
          </cell>
          <cell r="F1465" t="str">
            <v xml:space="preserve">   </v>
          </cell>
          <cell r="G1465" t="str">
            <v xml:space="preserve">51119X7       </v>
          </cell>
          <cell r="H1465">
            <v>-1482349.3</v>
          </cell>
          <cell r="I1465">
            <v>-1482349.3</v>
          </cell>
          <cell r="J1465">
            <v>0</v>
          </cell>
          <cell r="K1465">
            <v>0</v>
          </cell>
          <cell r="L1465">
            <v>0</v>
          </cell>
        </row>
        <row r="1466">
          <cell r="A1466">
            <v>3</v>
          </cell>
          <cell r="B1466">
            <v>2</v>
          </cell>
          <cell r="C1466">
            <v>119</v>
          </cell>
          <cell r="D1466" t="str">
            <v>X2</v>
          </cell>
          <cell r="E1466" t="str">
            <v xml:space="preserve">    </v>
          </cell>
          <cell r="F1466" t="str">
            <v xml:space="preserve">   </v>
          </cell>
          <cell r="G1466" t="str">
            <v xml:space="preserve">32119X2       </v>
          </cell>
          <cell r="H1466">
            <v>-100455.1</v>
          </cell>
          <cell r="I1466">
            <v>0</v>
          </cell>
          <cell r="J1466">
            <v>-100455.1</v>
          </cell>
          <cell r="K1466">
            <v>0</v>
          </cell>
          <cell r="L1466">
            <v>0</v>
          </cell>
        </row>
        <row r="1467">
          <cell r="A1467">
            <v>4</v>
          </cell>
          <cell r="B1467">
            <v>2</v>
          </cell>
          <cell r="C1467">
            <v>119</v>
          </cell>
          <cell r="D1467" t="str">
            <v>X2</v>
          </cell>
          <cell r="E1467" t="str">
            <v xml:space="preserve">    </v>
          </cell>
          <cell r="F1467" t="str">
            <v xml:space="preserve">   </v>
          </cell>
          <cell r="G1467" t="str">
            <v xml:space="preserve">42119X2       </v>
          </cell>
          <cell r="H1467">
            <v>-98340.62</v>
          </cell>
          <cell r="I1467">
            <v>0</v>
          </cell>
          <cell r="J1467">
            <v>-98340.62</v>
          </cell>
          <cell r="K1467">
            <v>0</v>
          </cell>
          <cell r="L1467">
            <v>0</v>
          </cell>
        </row>
        <row r="1468">
          <cell r="A1468">
            <v>5</v>
          </cell>
          <cell r="B1468">
            <v>2</v>
          </cell>
          <cell r="C1468">
            <v>119</v>
          </cell>
          <cell r="D1468" t="str">
            <v>X2</v>
          </cell>
          <cell r="E1468" t="str">
            <v xml:space="preserve">    </v>
          </cell>
          <cell r="F1468" t="str">
            <v xml:space="preserve">   </v>
          </cell>
          <cell r="G1468" t="str">
            <v xml:space="preserve">52119X2       </v>
          </cell>
          <cell r="H1468">
            <v>-100279.6</v>
          </cell>
          <cell r="I1468">
            <v>0</v>
          </cell>
          <cell r="J1468">
            <v>-100279.6</v>
          </cell>
          <cell r="K1468">
            <v>0</v>
          </cell>
          <cell r="L1468">
            <v>0</v>
          </cell>
        </row>
        <row r="1469">
          <cell r="A1469">
            <v>3</v>
          </cell>
          <cell r="B1469">
            <v>2</v>
          </cell>
          <cell r="C1469">
            <v>119</v>
          </cell>
          <cell r="D1469" t="str">
            <v>X4</v>
          </cell>
          <cell r="E1469" t="str">
            <v xml:space="preserve">    </v>
          </cell>
          <cell r="F1469" t="str">
            <v xml:space="preserve">   </v>
          </cell>
          <cell r="G1469" t="str">
            <v xml:space="preserve">32119X4       </v>
          </cell>
          <cell r="H1469">
            <v>-2289703.1</v>
          </cell>
          <cell r="I1469">
            <v>0</v>
          </cell>
          <cell r="J1469">
            <v>-2266360.87</v>
          </cell>
          <cell r="K1469">
            <v>-23342.23</v>
          </cell>
          <cell r="L1469">
            <v>0</v>
          </cell>
        </row>
        <row r="1470">
          <cell r="A1470">
            <v>4</v>
          </cell>
          <cell r="B1470">
            <v>2</v>
          </cell>
          <cell r="C1470">
            <v>119</v>
          </cell>
          <cell r="D1470" t="str">
            <v>X4</v>
          </cell>
          <cell r="E1470" t="str">
            <v xml:space="preserve">    </v>
          </cell>
          <cell r="F1470" t="str">
            <v xml:space="preserve">   </v>
          </cell>
          <cell r="G1470" t="str">
            <v xml:space="preserve">42119X4       </v>
          </cell>
          <cell r="H1470">
            <v>-2249792.7599999998</v>
          </cell>
          <cell r="I1470">
            <v>0</v>
          </cell>
          <cell r="J1470">
            <v>-2226450.62</v>
          </cell>
          <cell r="K1470">
            <v>-23342.14</v>
          </cell>
          <cell r="L1470">
            <v>0</v>
          </cell>
        </row>
        <row r="1471">
          <cell r="A1471">
            <v>5</v>
          </cell>
          <cell r="B1471">
            <v>2</v>
          </cell>
          <cell r="C1471">
            <v>119</v>
          </cell>
          <cell r="D1471" t="str">
            <v>X4</v>
          </cell>
          <cell r="E1471" t="str">
            <v xml:space="preserve">    </v>
          </cell>
          <cell r="F1471" t="str">
            <v xml:space="preserve">   </v>
          </cell>
          <cell r="G1471" t="str">
            <v xml:space="preserve">52119X4       </v>
          </cell>
          <cell r="H1471">
            <v>-2285965.08</v>
          </cell>
          <cell r="I1471">
            <v>0</v>
          </cell>
          <cell r="J1471">
            <v>-2262622.86</v>
          </cell>
          <cell r="K1471">
            <v>-23342.22</v>
          </cell>
          <cell r="L1471">
            <v>0</v>
          </cell>
        </row>
        <row r="1472">
          <cell r="A1472">
            <v>3</v>
          </cell>
          <cell r="B1472">
            <v>2</v>
          </cell>
          <cell r="C1472">
            <v>119</v>
          </cell>
          <cell r="D1472" t="str">
            <v>X5</v>
          </cell>
          <cell r="E1472" t="str">
            <v xml:space="preserve">    </v>
          </cell>
          <cell r="F1472" t="str">
            <v xml:space="preserve">   </v>
          </cell>
          <cell r="G1472" t="str">
            <v xml:space="preserve">32119X5       </v>
          </cell>
          <cell r="H1472">
            <v>-48221884.289999999</v>
          </cell>
          <cell r="I1472">
            <v>0</v>
          </cell>
          <cell r="J1472">
            <v>-39853660.630000003</v>
          </cell>
          <cell r="K1472">
            <v>-8368223.6600000001</v>
          </cell>
          <cell r="L1472">
            <v>0</v>
          </cell>
        </row>
        <row r="1473">
          <cell r="A1473">
            <v>4</v>
          </cell>
          <cell r="B1473">
            <v>2</v>
          </cell>
          <cell r="C1473">
            <v>119</v>
          </cell>
          <cell r="D1473" t="str">
            <v>X5</v>
          </cell>
          <cell r="E1473" t="str">
            <v xml:space="preserve">    </v>
          </cell>
          <cell r="F1473" t="str">
            <v xml:space="preserve">   </v>
          </cell>
          <cell r="G1473" t="str">
            <v xml:space="preserve">42119X5       </v>
          </cell>
          <cell r="H1473">
            <v>-46033715.270000003</v>
          </cell>
          <cell r="I1473">
            <v>0</v>
          </cell>
          <cell r="J1473">
            <v>-37982855.280000001</v>
          </cell>
          <cell r="K1473">
            <v>-8050859.9900000002</v>
          </cell>
          <cell r="L1473">
            <v>0</v>
          </cell>
        </row>
        <row r="1474">
          <cell r="A1474">
            <v>5</v>
          </cell>
          <cell r="B1474">
            <v>2</v>
          </cell>
          <cell r="C1474">
            <v>119</v>
          </cell>
          <cell r="D1474" t="str">
            <v>X5</v>
          </cell>
          <cell r="E1474" t="str">
            <v xml:space="preserve">    </v>
          </cell>
          <cell r="F1474" t="str">
            <v xml:space="preserve">   </v>
          </cell>
          <cell r="G1474" t="str">
            <v xml:space="preserve">52119X5       </v>
          </cell>
          <cell r="H1474">
            <v>-48035471.020000003</v>
          </cell>
          <cell r="I1474">
            <v>0</v>
          </cell>
          <cell r="J1474">
            <v>-39691965.07</v>
          </cell>
          <cell r="K1474">
            <v>-8343505.9500000002</v>
          </cell>
          <cell r="L1474">
            <v>0</v>
          </cell>
        </row>
        <row r="1475">
          <cell r="A1475">
            <v>3</v>
          </cell>
          <cell r="B1475">
            <v>2</v>
          </cell>
          <cell r="C1475">
            <v>119</v>
          </cell>
          <cell r="D1475" t="str">
            <v>X6</v>
          </cell>
          <cell r="E1475" t="str">
            <v xml:space="preserve">    </v>
          </cell>
          <cell r="F1475" t="str">
            <v xml:space="preserve">   </v>
          </cell>
          <cell r="G1475" t="str">
            <v xml:space="preserve">32119X6       </v>
          </cell>
          <cell r="H1475">
            <v>-1333575.76</v>
          </cell>
          <cell r="I1475">
            <v>-683909.12</v>
          </cell>
          <cell r="J1475">
            <v>-384620.72</v>
          </cell>
          <cell r="K1475">
            <v>-265045.92</v>
          </cell>
          <cell r="L1475">
            <v>0</v>
          </cell>
        </row>
        <row r="1476">
          <cell r="A1476">
            <v>4</v>
          </cell>
          <cell r="B1476">
            <v>2</v>
          </cell>
          <cell r="C1476">
            <v>119</v>
          </cell>
          <cell r="D1476" t="str">
            <v>X6</v>
          </cell>
          <cell r="E1476" t="str">
            <v xml:space="preserve">    </v>
          </cell>
          <cell r="F1476" t="str">
            <v xml:space="preserve">   </v>
          </cell>
          <cell r="G1476" t="str">
            <v xml:space="preserve">42119X6       </v>
          </cell>
          <cell r="H1476">
            <v>-1241086.26</v>
          </cell>
          <cell r="I1476">
            <v>-623405.48</v>
          </cell>
          <cell r="J1476">
            <v>-361193.48</v>
          </cell>
          <cell r="K1476">
            <v>-256487.3</v>
          </cell>
          <cell r="L1476">
            <v>0</v>
          </cell>
        </row>
        <row r="1477">
          <cell r="A1477">
            <v>5</v>
          </cell>
          <cell r="B1477">
            <v>2</v>
          </cell>
          <cell r="C1477">
            <v>119</v>
          </cell>
          <cell r="D1477" t="str">
            <v>X6</v>
          </cell>
          <cell r="E1477" t="str">
            <v xml:space="preserve">    </v>
          </cell>
          <cell r="F1477" t="str">
            <v xml:space="preserve">   </v>
          </cell>
          <cell r="G1477" t="str">
            <v xml:space="preserve">52119X6       </v>
          </cell>
          <cell r="H1477">
            <v>-1326094.75</v>
          </cell>
          <cell r="I1477">
            <v>-678451.61</v>
          </cell>
          <cell r="J1477">
            <v>-383190.22</v>
          </cell>
          <cell r="K1477">
            <v>-264452.92</v>
          </cell>
          <cell r="L1477">
            <v>0</v>
          </cell>
        </row>
        <row r="1478">
          <cell r="A1478">
            <v>3</v>
          </cell>
          <cell r="B1478">
            <v>2</v>
          </cell>
          <cell r="C1478">
            <v>119</v>
          </cell>
          <cell r="D1478" t="str">
            <v>X7</v>
          </cell>
          <cell r="E1478" t="str">
            <v xml:space="preserve">    </v>
          </cell>
          <cell r="F1478" t="str">
            <v xml:space="preserve">   </v>
          </cell>
          <cell r="G1478" t="str">
            <v xml:space="preserve">32119X7       </v>
          </cell>
          <cell r="H1478">
            <v>-425562.99</v>
          </cell>
          <cell r="I1478">
            <v>0</v>
          </cell>
          <cell r="J1478">
            <v>-358810.17</v>
          </cell>
          <cell r="K1478">
            <v>-66752.820000000007</v>
          </cell>
          <cell r="L1478">
            <v>0</v>
          </cell>
        </row>
        <row r="1479">
          <cell r="A1479">
            <v>4</v>
          </cell>
          <cell r="B1479">
            <v>2</v>
          </cell>
          <cell r="C1479">
            <v>119</v>
          </cell>
          <cell r="D1479" t="str">
            <v>X7</v>
          </cell>
          <cell r="E1479" t="str">
            <v xml:space="preserve">    </v>
          </cell>
          <cell r="F1479" t="str">
            <v xml:space="preserve">   </v>
          </cell>
          <cell r="G1479" t="str">
            <v xml:space="preserve">42119X7       </v>
          </cell>
          <cell r="H1479">
            <v>-380342.1</v>
          </cell>
          <cell r="I1479">
            <v>0</v>
          </cell>
          <cell r="J1479">
            <v>-317323.03000000003</v>
          </cell>
          <cell r="K1479">
            <v>-63019.07</v>
          </cell>
          <cell r="L1479">
            <v>0</v>
          </cell>
        </row>
        <row r="1480">
          <cell r="A1480">
            <v>5</v>
          </cell>
          <cell r="B1480">
            <v>2</v>
          </cell>
          <cell r="C1480">
            <v>119</v>
          </cell>
          <cell r="D1480" t="str">
            <v>X7</v>
          </cell>
          <cell r="E1480" t="str">
            <v xml:space="preserve">    </v>
          </cell>
          <cell r="F1480" t="str">
            <v xml:space="preserve">   </v>
          </cell>
          <cell r="G1480" t="str">
            <v xml:space="preserve">52119X7       </v>
          </cell>
          <cell r="H1480">
            <v>-422504.48</v>
          </cell>
          <cell r="I1480">
            <v>0</v>
          </cell>
          <cell r="J1480">
            <v>-356073.66</v>
          </cell>
          <cell r="K1480">
            <v>-66430.820000000007</v>
          </cell>
          <cell r="L1480">
            <v>0</v>
          </cell>
        </row>
        <row r="1481">
          <cell r="A1481">
            <v>3</v>
          </cell>
          <cell r="B1481">
            <v>7</v>
          </cell>
          <cell r="C1481">
            <v>119</v>
          </cell>
          <cell r="D1481" t="str">
            <v>X6</v>
          </cell>
          <cell r="E1481" t="str">
            <v xml:space="preserve">    </v>
          </cell>
          <cell r="F1481" t="str">
            <v xml:space="preserve">   </v>
          </cell>
          <cell r="G1481" t="str">
            <v xml:space="preserve">37119X6       </v>
          </cell>
          <cell r="H1481">
            <v>-299224.84000000003</v>
          </cell>
          <cell r="I1481">
            <v>-299224.84000000003</v>
          </cell>
          <cell r="J1481">
            <v>0</v>
          </cell>
          <cell r="K1481">
            <v>0</v>
          </cell>
          <cell r="L1481">
            <v>0</v>
          </cell>
        </row>
        <row r="1482">
          <cell r="A1482">
            <v>4</v>
          </cell>
          <cell r="B1482">
            <v>7</v>
          </cell>
          <cell r="C1482">
            <v>119</v>
          </cell>
          <cell r="D1482" t="str">
            <v>X6</v>
          </cell>
          <cell r="E1482" t="str">
            <v xml:space="preserve">    </v>
          </cell>
          <cell r="F1482" t="str">
            <v xml:space="preserve">   </v>
          </cell>
          <cell r="G1482" t="str">
            <v xml:space="preserve">47119X6       </v>
          </cell>
          <cell r="H1482">
            <v>-4012660.89</v>
          </cell>
          <cell r="I1482">
            <v>-4012660.89</v>
          </cell>
          <cell r="J1482">
            <v>0</v>
          </cell>
          <cell r="K1482">
            <v>0</v>
          </cell>
          <cell r="L1482">
            <v>0</v>
          </cell>
        </row>
        <row r="1483">
          <cell r="A1483">
            <v>5</v>
          </cell>
          <cell r="B1483">
            <v>7</v>
          </cell>
          <cell r="C1483">
            <v>119</v>
          </cell>
          <cell r="D1483" t="str">
            <v>X6</v>
          </cell>
          <cell r="E1483" t="str">
            <v xml:space="preserve">    </v>
          </cell>
          <cell r="F1483" t="str">
            <v xml:space="preserve">   </v>
          </cell>
          <cell r="G1483" t="str">
            <v xml:space="preserve">57119X6       </v>
          </cell>
          <cell r="H1483">
            <v>-234859.85</v>
          </cell>
          <cell r="I1483">
            <v>-234859.85</v>
          </cell>
          <cell r="J1483">
            <v>0</v>
          </cell>
          <cell r="K1483">
            <v>0</v>
          </cell>
          <cell r="L1483">
            <v>0</v>
          </cell>
        </row>
        <row r="1484">
          <cell r="A1484">
            <v>3</v>
          </cell>
          <cell r="B1484">
            <v>7</v>
          </cell>
          <cell r="C1484">
            <v>119</v>
          </cell>
          <cell r="D1484" t="str">
            <v>X7</v>
          </cell>
          <cell r="E1484" t="str">
            <v xml:space="preserve">    </v>
          </cell>
          <cell r="F1484" t="str">
            <v xml:space="preserve">   </v>
          </cell>
          <cell r="G1484" t="str">
            <v xml:space="preserve">37119X7       </v>
          </cell>
          <cell r="H1484">
            <v>0</v>
          </cell>
          <cell r="I1484">
            <v>0</v>
          </cell>
          <cell r="J1484">
            <v>0</v>
          </cell>
          <cell r="K1484">
            <v>0</v>
          </cell>
          <cell r="L1484">
            <v>0</v>
          </cell>
        </row>
        <row r="1485">
          <cell r="A1485">
            <v>4</v>
          </cell>
          <cell r="B1485">
            <v>7</v>
          </cell>
          <cell r="C1485">
            <v>119</v>
          </cell>
          <cell r="D1485" t="str">
            <v>X7</v>
          </cell>
          <cell r="E1485" t="str">
            <v xml:space="preserve">    </v>
          </cell>
          <cell r="F1485" t="str">
            <v xml:space="preserve">   </v>
          </cell>
          <cell r="G1485" t="str">
            <v xml:space="preserve">47119X7       </v>
          </cell>
          <cell r="H1485">
            <v>0</v>
          </cell>
          <cell r="I1485">
            <v>0</v>
          </cell>
          <cell r="J1485">
            <v>0</v>
          </cell>
          <cell r="K1485">
            <v>0</v>
          </cell>
          <cell r="L1485">
            <v>0</v>
          </cell>
        </row>
        <row r="1486">
          <cell r="A1486">
            <v>5</v>
          </cell>
          <cell r="B1486">
            <v>7</v>
          </cell>
          <cell r="C1486">
            <v>119</v>
          </cell>
          <cell r="D1486" t="str">
            <v>X7</v>
          </cell>
          <cell r="E1486" t="str">
            <v xml:space="preserve">    </v>
          </cell>
          <cell r="F1486" t="str">
            <v xml:space="preserve">   </v>
          </cell>
          <cell r="G1486" t="str">
            <v xml:space="preserve">57119X7       </v>
          </cell>
          <cell r="H1486">
            <v>0</v>
          </cell>
          <cell r="I1486">
            <v>0</v>
          </cell>
          <cell r="J1486">
            <v>0</v>
          </cell>
          <cell r="K1486">
            <v>0</v>
          </cell>
          <cell r="L1486">
            <v>0</v>
          </cell>
        </row>
        <row r="1487">
          <cell r="A1487">
            <v>3</v>
          </cell>
          <cell r="B1487">
            <v>8</v>
          </cell>
          <cell r="C1487">
            <v>119</v>
          </cell>
          <cell r="D1487" t="str">
            <v>X6</v>
          </cell>
          <cell r="E1487" t="str">
            <v xml:space="preserve">    </v>
          </cell>
          <cell r="F1487" t="str">
            <v xml:space="preserve">   </v>
          </cell>
          <cell r="G1487" t="str">
            <v xml:space="preserve">38119X6       </v>
          </cell>
          <cell r="H1487">
            <v>-55033.72</v>
          </cell>
          <cell r="I1487">
            <v>-55033.72</v>
          </cell>
          <cell r="J1487">
            <v>0</v>
          </cell>
          <cell r="K1487">
            <v>0</v>
          </cell>
          <cell r="L1487">
            <v>0</v>
          </cell>
        </row>
        <row r="1488">
          <cell r="A1488">
            <v>4</v>
          </cell>
          <cell r="B1488">
            <v>8</v>
          </cell>
          <cell r="C1488">
            <v>119</v>
          </cell>
          <cell r="D1488" t="str">
            <v>X6</v>
          </cell>
          <cell r="E1488" t="str">
            <v xml:space="preserve">    </v>
          </cell>
          <cell r="F1488" t="str">
            <v xml:space="preserve">   </v>
          </cell>
          <cell r="G1488" t="str">
            <v xml:space="preserve">48119X6       </v>
          </cell>
          <cell r="H1488">
            <v>-49551.19</v>
          </cell>
          <cell r="I1488">
            <v>-49551.19</v>
          </cell>
          <cell r="J1488">
            <v>0</v>
          </cell>
          <cell r="K1488">
            <v>0</v>
          </cell>
          <cell r="L1488">
            <v>0</v>
          </cell>
        </row>
        <row r="1489">
          <cell r="A1489">
            <v>5</v>
          </cell>
          <cell r="B1489">
            <v>8</v>
          </cell>
          <cell r="C1489">
            <v>119</v>
          </cell>
          <cell r="D1489" t="str">
            <v>X6</v>
          </cell>
          <cell r="E1489" t="str">
            <v xml:space="preserve">    </v>
          </cell>
          <cell r="F1489" t="str">
            <v xml:space="preserve">   </v>
          </cell>
          <cell r="G1489" t="str">
            <v xml:space="preserve">58119X6       </v>
          </cell>
          <cell r="H1489">
            <v>-54577.21</v>
          </cell>
          <cell r="I1489">
            <v>-54577.21</v>
          </cell>
          <cell r="J1489">
            <v>0</v>
          </cell>
          <cell r="K1489">
            <v>0</v>
          </cell>
          <cell r="L1489">
            <v>0</v>
          </cell>
        </row>
        <row r="1490">
          <cell r="A1490">
            <v>3</v>
          </cell>
          <cell r="B1490">
            <v>9</v>
          </cell>
          <cell r="C1490">
            <v>119</v>
          </cell>
          <cell r="D1490" t="str">
            <v>X6</v>
          </cell>
          <cell r="E1490" t="str">
            <v xml:space="preserve">    </v>
          </cell>
          <cell r="F1490" t="str">
            <v xml:space="preserve">   </v>
          </cell>
          <cell r="G1490" t="str">
            <v xml:space="preserve">39119X6       </v>
          </cell>
          <cell r="H1490">
            <v>-10377646.15</v>
          </cell>
          <cell r="I1490">
            <v>-10377646.15</v>
          </cell>
          <cell r="J1490">
            <v>0</v>
          </cell>
          <cell r="K1490">
            <v>0</v>
          </cell>
          <cell r="L1490">
            <v>0</v>
          </cell>
        </row>
        <row r="1491">
          <cell r="A1491">
            <v>4</v>
          </cell>
          <cell r="B1491">
            <v>9</v>
          </cell>
          <cell r="C1491">
            <v>119</v>
          </cell>
          <cell r="D1491" t="str">
            <v>X6</v>
          </cell>
          <cell r="E1491" t="str">
            <v xml:space="preserve">    </v>
          </cell>
          <cell r="F1491" t="str">
            <v xml:space="preserve">   </v>
          </cell>
          <cell r="G1491" t="str">
            <v xml:space="preserve">49119X6       </v>
          </cell>
          <cell r="H1491">
            <v>-10145887.539999999</v>
          </cell>
          <cell r="I1491">
            <v>-10145887.539999999</v>
          </cell>
          <cell r="J1491">
            <v>0</v>
          </cell>
          <cell r="K1491">
            <v>0</v>
          </cell>
          <cell r="L1491">
            <v>0</v>
          </cell>
        </row>
        <row r="1492">
          <cell r="A1492">
            <v>5</v>
          </cell>
          <cell r="B1492">
            <v>9</v>
          </cell>
          <cell r="C1492">
            <v>119</v>
          </cell>
          <cell r="D1492" t="str">
            <v>X6</v>
          </cell>
          <cell r="E1492" t="str">
            <v xml:space="preserve">    </v>
          </cell>
          <cell r="F1492" t="str">
            <v xml:space="preserve">   </v>
          </cell>
          <cell r="G1492" t="str">
            <v xml:space="preserve">59119X6       </v>
          </cell>
          <cell r="H1492">
            <v>-10347158.140000001</v>
          </cell>
          <cell r="I1492">
            <v>-10347158.140000001</v>
          </cell>
          <cell r="J1492">
            <v>0</v>
          </cell>
          <cell r="K1492">
            <v>0</v>
          </cell>
          <cell r="L1492">
            <v>0</v>
          </cell>
        </row>
        <row r="1493">
          <cell r="A1493">
            <v>3</v>
          </cell>
          <cell r="B1493">
            <v>9</v>
          </cell>
          <cell r="C1493">
            <v>119</v>
          </cell>
          <cell r="D1493" t="str">
            <v>X7</v>
          </cell>
          <cell r="E1493" t="str">
            <v xml:space="preserve">    </v>
          </cell>
          <cell r="F1493" t="str">
            <v xml:space="preserve">   </v>
          </cell>
          <cell r="G1493" t="str">
            <v xml:space="preserve">39119X7       </v>
          </cell>
          <cell r="H1493">
            <v>-1435348.2</v>
          </cell>
          <cell r="I1493">
            <v>-1435348.2</v>
          </cell>
          <cell r="J1493">
            <v>0</v>
          </cell>
          <cell r="K1493">
            <v>0</v>
          </cell>
          <cell r="L1493">
            <v>0</v>
          </cell>
        </row>
        <row r="1494">
          <cell r="A1494">
            <v>4</v>
          </cell>
          <cell r="B1494">
            <v>9</v>
          </cell>
          <cell r="C1494">
            <v>119</v>
          </cell>
          <cell r="D1494" t="str">
            <v>X7</v>
          </cell>
          <cell r="E1494" t="str">
            <v xml:space="preserve">    </v>
          </cell>
          <cell r="F1494" t="str">
            <v xml:space="preserve">   </v>
          </cell>
          <cell r="G1494" t="str">
            <v xml:space="preserve">49119X7       </v>
          </cell>
          <cell r="H1494">
            <v>-1338535.26</v>
          </cell>
          <cell r="I1494">
            <v>-1338535.26</v>
          </cell>
          <cell r="J1494">
            <v>0</v>
          </cell>
          <cell r="K1494">
            <v>0</v>
          </cell>
          <cell r="L1494">
            <v>0</v>
          </cell>
        </row>
        <row r="1495">
          <cell r="A1495">
            <v>5</v>
          </cell>
          <cell r="B1495">
            <v>9</v>
          </cell>
          <cell r="C1495">
            <v>119</v>
          </cell>
          <cell r="D1495" t="str">
            <v>X7</v>
          </cell>
          <cell r="E1495" t="str">
            <v xml:space="preserve">    </v>
          </cell>
          <cell r="F1495" t="str">
            <v xml:space="preserve">   </v>
          </cell>
          <cell r="G1495" t="str">
            <v xml:space="preserve">59119X7       </v>
          </cell>
          <cell r="H1495">
            <v>-1428074.83</v>
          </cell>
          <cell r="I1495">
            <v>-1428074.83</v>
          </cell>
          <cell r="J1495">
            <v>0</v>
          </cell>
          <cell r="K1495">
            <v>0</v>
          </cell>
          <cell r="L1495">
            <v>0</v>
          </cell>
        </row>
        <row r="1496">
          <cell r="A1496">
            <v>3</v>
          </cell>
          <cell r="B1496">
            <v>0</v>
          </cell>
          <cell r="C1496">
            <v>108</v>
          </cell>
          <cell r="D1496">
            <v>2</v>
          </cell>
          <cell r="E1496" t="str">
            <v xml:space="preserve">    </v>
          </cell>
          <cell r="F1496" t="str">
            <v xml:space="preserve">   </v>
          </cell>
          <cell r="G1496">
            <v>3010802</v>
          </cell>
          <cell r="H1496">
            <v>564000</v>
          </cell>
          <cell r="I1496">
            <v>564000</v>
          </cell>
          <cell r="J1496">
            <v>0</v>
          </cell>
          <cell r="K1496">
            <v>0</v>
          </cell>
          <cell r="L1496">
            <v>0</v>
          </cell>
        </row>
        <row r="1497">
          <cell r="A1497">
            <v>4</v>
          </cell>
          <cell r="B1497">
            <v>0</v>
          </cell>
          <cell r="C1497">
            <v>108</v>
          </cell>
          <cell r="D1497">
            <v>2</v>
          </cell>
          <cell r="E1497" t="str">
            <v xml:space="preserve">    </v>
          </cell>
          <cell r="F1497" t="str">
            <v xml:space="preserve">   </v>
          </cell>
          <cell r="G1497">
            <v>4010802</v>
          </cell>
          <cell r="H1497">
            <v>564000</v>
          </cell>
          <cell r="I1497">
            <v>564000</v>
          </cell>
          <cell r="J1497">
            <v>0</v>
          </cell>
          <cell r="K1497">
            <v>0</v>
          </cell>
          <cell r="L1497">
            <v>0</v>
          </cell>
        </row>
        <row r="1498">
          <cell r="A1498">
            <v>5</v>
          </cell>
          <cell r="B1498">
            <v>0</v>
          </cell>
          <cell r="C1498">
            <v>108</v>
          </cell>
          <cell r="D1498">
            <v>2</v>
          </cell>
          <cell r="E1498" t="str">
            <v xml:space="preserve">    </v>
          </cell>
          <cell r="F1498" t="str">
            <v xml:space="preserve">   </v>
          </cell>
          <cell r="G1498">
            <v>5010802</v>
          </cell>
          <cell r="H1498">
            <v>564000</v>
          </cell>
          <cell r="I1498">
            <v>564000</v>
          </cell>
          <cell r="J1498">
            <v>0</v>
          </cell>
          <cell r="K1498">
            <v>0</v>
          </cell>
          <cell r="L1498">
            <v>0</v>
          </cell>
        </row>
        <row r="1499">
          <cell r="A1499">
            <v>3</v>
          </cell>
          <cell r="B1499">
            <v>0</v>
          </cell>
          <cell r="C1499">
            <v>111</v>
          </cell>
          <cell r="D1499">
            <v>10</v>
          </cell>
          <cell r="E1499" t="str">
            <v xml:space="preserve">    </v>
          </cell>
          <cell r="F1499" t="str">
            <v xml:space="preserve">   </v>
          </cell>
          <cell r="G1499">
            <v>3011110</v>
          </cell>
          <cell r="H1499">
            <v>-167888.43</v>
          </cell>
          <cell r="I1499">
            <v>-167888.43</v>
          </cell>
          <cell r="J1499">
            <v>0</v>
          </cell>
          <cell r="K1499">
            <v>0</v>
          </cell>
          <cell r="L1499">
            <v>0</v>
          </cell>
        </row>
        <row r="1500">
          <cell r="A1500">
            <v>4</v>
          </cell>
          <cell r="B1500">
            <v>0</v>
          </cell>
          <cell r="C1500">
            <v>111</v>
          </cell>
          <cell r="D1500">
            <v>10</v>
          </cell>
          <cell r="E1500" t="str">
            <v xml:space="preserve">    </v>
          </cell>
          <cell r="F1500" t="str">
            <v xml:space="preserve">   </v>
          </cell>
          <cell r="G1500">
            <v>4011110</v>
          </cell>
          <cell r="H1500">
            <v>-165788.31</v>
          </cell>
          <cell r="I1500">
            <v>-165788.31</v>
          </cell>
          <cell r="J1500">
            <v>0</v>
          </cell>
          <cell r="K1500">
            <v>0</v>
          </cell>
          <cell r="L1500">
            <v>0</v>
          </cell>
        </row>
        <row r="1501">
          <cell r="A1501">
            <v>5</v>
          </cell>
          <cell r="B1501">
            <v>0</v>
          </cell>
          <cell r="C1501">
            <v>111</v>
          </cell>
          <cell r="D1501">
            <v>10</v>
          </cell>
          <cell r="E1501" t="str">
            <v xml:space="preserve">    </v>
          </cell>
          <cell r="F1501" t="str">
            <v xml:space="preserve">   </v>
          </cell>
          <cell r="G1501">
            <v>5011110</v>
          </cell>
          <cell r="H1501">
            <v>-167713.42000000001</v>
          </cell>
          <cell r="I1501">
            <v>-167713.42000000001</v>
          </cell>
          <cell r="J1501">
            <v>0</v>
          </cell>
          <cell r="K1501">
            <v>0</v>
          </cell>
          <cell r="L1501">
            <v>0</v>
          </cell>
        </row>
        <row r="1502">
          <cell r="A1502">
            <v>3</v>
          </cell>
          <cell r="B1502">
            <v>0</v>
          </cell>
          <cell r="C1502">
            <v>111</v>
          </cell>
          <cell r="D1502">
            <v>20</v>
          </cell>
          <cell r="E1502" t="str">
            <v xml:space="preserve">    </v>
          </cell>
          <cell r="F1502" t="str">
            <v xml:space="preserve">   </v>
          </cell>
          <cell r="G1502">
            <v>3011120</v>
          </cell>
          <cell r="H1502">
            <v>-120340</v>
          </cell>
          <cell r="I1502">
            <v>-120340</v>
          </cell>
          <cell r="J1502">
            <v>0</v>
          </cell>
          <cell r="K1502">
            <v>0</v>
          </cell>
          <cell r="L1502">
            <v>0</v>
          </cell>
        </row>
        <row r="1503">
          <cell r="A1503">
            <v>4</v>
          </cell>
          <cell r="B1503">
            <v>0</v>
          </cell>
          <cell r="C1503">
            <v>111</v>
          </cell>
          <cell r="D1503">
            <v>20</v>
          </cell>
          <cell r="E1503" t="str">
            <v xml:space="preserve">    </v>
          </cell>
          <cell r="F1503" t="str">
            <v xml:space="preserve">   </v>
          </cell>
          <cell r="G1503">
            <v>4011120</v>
          </cell>
          <cell r="H1503">
            <v>-115527.95</v>
          </cell>
          <cell r="I1503">
            <v>-115527.95</v>
          </cell>
          <cell r="J1503">
            <v>0</v>
          </cell>
          <cell r="K1503">
            <v>0</v>
          </cell>
          <cell r="L1503">
            <v>0</v>
          </cell>
        </row>
        <row r="1504">
          <cell r="A1504">
            <v>5</v>
          </cell>
          <cell r="B1504">
            <v>0</v>
          </cell>
          <cell r="C1504">
            <v>111</v>
          </cell>
          <cell r="D1504">
            <v>20</v>
          </cell>
          <cell r="E1504" t="str">
            <v xml:space="preserve">    </v>
          </cell>
          <cell r="F1504" t="str">
            <v xml:space="preserve">   </v>
          </cell>
          <cell r="G1504">
            <v>5011120</v>
          </cell>
          <cell r="H1504">
            <v>-119939</v>
          </cell>
          <cell r="I1504">
            <v>-119939</v>
          </cell>
          <cell r="J1504">
            <v>0</v>
          </cell>
          <cell r="K1504">
            <v>0</v>
          </cell>
          <cell r="L1504">
            <v>0</v>
          </cell>
        </row>
        <row r="1505">
          <cell r="A1505">
            <v>3</v>
          </cell>
          <cell r="B1505">
            <v>0</v>
          </cell>
          <cell r="C1505">
            <v>111</v>
          </cell>
          <cell r="D1505">
            <v>36</v>
          </cell>
          <cell r="E1505" t="str">
            <v xml:space="preserve">    </v>
          </cell>
          <cell r="F1505" t="str">
            <v xml:space="preserve">   </v>
          </cell>
          <cell r="G1505">
            <v>3011136</v>
          </cell>
          <cell r="H1505">
            <v>0</v>
          </cell>
          <cell r="I1505">
            <v>0</v>
          </cell>
          <cell r="J1505">
            <v>0</v>
          </cell>
          <cell r="K1505">
            <v>0</v>
          </cell>
          <cell r="L1505">
            <v>0</v>
          </cell>
        </row>
        <row r="1506">
          <cell r="A1506">
            <v>4</v>
          </cell>
          <cell r="B1506">
            <v>0</v>
          </cell>
          <cell r="C1506">
            <v>111</v>
          </cell>
          <cell r="D1506">
            <v>36</v>
          </cell>
          <cell r="E1506" t="str">
            <v xml:space="preserve">    </v>
          </cell>
          <cell r="F1506" t="str">
            <v xml:space="preserve">   </v>
          </cell>
          <cell r="G1506">
            <v>4011136</v>
          </cell>
          <cell r="H1506">
            <v>0</v>
          </cell>
          <cell r="I1506">
            <v>0</v>
          </cell>
          <cell r="J1506">
            <v>0</v>
          </cell>
          <cell r="K1506">
            <v>0</v>
          </cell>
          <cell r="L1506">
            <v>0</v>
          </cell>
        </row>
        <row r="1507">
          <cell r="A1507">
            <v>5</v>
          </cell>
          <cell r="B1507">
            <v>0</v>
          </cell>
          <cell r="C1507">
            <v>111</v>
          </cell>
          <cell r="D1507">
            <v>36</v>
          </cell>
          <cell r="E1507" t="str">
            <v xml:space="preserve">    </v>
          </cell>
          <cell r="F1507" t="str">
            <v xml:space="preserve">   </v>
          </cell>
          <cell r="G1507">
            <v>5011136</v>
          </cell>
          <cell r="H1507">
            <v>0</v>
          </cell>
          <cell r="I1507">
            <v>0</v>
          </cell>
          <cell r="J1507">
            <v>0</v>
          </cell>
          <cell r="K1507">
            <v>0</v>
          </cell>
          <cell r="L1507">
            <v>0</v>
          </cell>
        </row>
        <row r="1508">
          <cell r="A1508">
            <v>3</v>
          </cell>
          <cell r="B1508">
            <v>0</v>
          </cell>
          <cell r="C1508">
            <v>111</v>
          </cell>
          <cell r="D1508">
            <v>40</v>
          </cell>
          <cell r="E1508" t="str">
            <v xml:space="preserve">    </v>
          </cell>
          <cell r="F1508" t="str">
            <v xml:space="preserve">   </v>
          </cell>
          <cell r="G1508">
            <v>3011140</v>
          </cell>
          <cell r="H1508">
            <v>0</v>
          </cell>
          <cell r="I1508">
            <v>0</v>
          </cell>
          <cell r="J1508">
            <v>0</v>
          </cell>
          <cell r="K1508">
            <v>0</v>
          </cell>
          <cell r="L1508">
            <v>0</v>
          </cell>
        </row>
        <row r="1509">
          <cell r="A1509">
            <v>4</v>
          </cell>
          <cell r="B1509">
            <v>0</v>
          </cell>
          <cell r="C1509">
            <v>111</v>
          </cell>
          <cell r="D1509">
            <v>40</v>
          </cell>
          <cell r="E1509" t="str">
            <v xml:space="preserve">    </v>
          </cell>
          <cell r="F1509" t="str">
            <v xml:space="preserve">   </v>
          </cell>
          <cell r="G1509">
            <v>4011140</v>
          </cell>
          <cell r="H1509">
            <v>0</v>
          </cell>
          <cell r="I1509">
            <v>0</v>
          </cell>
          <cell r="J1509">
            <v>0</v>
          </cell>
          <cell r="K1509">
            <v>0</v>
          </cell>
          <cell r="L1509">
            <v>0</v>
          </cell>
        </row>
        <row r="1510">
          <cell r="A1510">
            <v>5</v>
          </cell>
          <cell r="B1510">
            <v>0</v>
          </cell>
          <cell r="C1510">
            <v>111</v>
          </cell>
          <cell r="D1510">
            <v>40</v>
          </cell>
          <cell r="E1510" t="str">
            <v xml:space="preserve">    </v>
          </cell>
          <cell r="F1510" t="str">
            <v xml:space="preserve">   </v>
          </cell>
          <cell r="G1510">
            <v>5011140</v>
          </cell>
          <cell r="H1510">
            <v>0</v>
          </cell>
          <cell r="I1510">
            <v>0</v>
          </cell>
          <cell r="J1510">
            <v>0</v>
          </cell>
          <cell r="K1510">
            <v>0</v>
          </cell>
          <cell r="L1510">
            <v>0</v>
          </cell>
        </row>
        <row r="1511">
          <cell r="A1511">
            <v>3</v>
          </cell>
          <cell r="B1511">
            <v>0</v>
          </cell>
          <cell r="C1511">
            <v>111</v>
          </cell>
          <cell r="D1511">
            <v>46</v>
          </cell>
          <cell r="E1511" t="str">
            <v xml:space="preserve">    </v>
          </cell>
          <cell r="F1511" t="str">
            <v xml:space="preserve">   </v>
          </cell>
          <cell r="G1511">
            <v>3011146</v>
          </cell>
          <cell r="H1511">
            <v>-6808</v>
          </cell>
          <cell r="I1511">
            <v>-6808</v>
          </cell>
          <cell r="J1511">
            <v>0</v>
          </cell>
          <cell r="K1511">
            <v>0</v>
          </cell>
          <cell r="L1511">
            <v>0</v>
          </cell>
        </row>
        <row r="1512">
          <cell r="A1512">
            <v>4</v>
          </cell>
          <cell r="B1512">
            <v>0</v>
          </cell>
          <cell r="C1512">
            <v>111</v>
          </cell>
          <cell r="D1512">
            <v>46</v>
          </cell>
          <cell r="E1512" t="str">
            <v xml:space="preserve">    </v>
          </cell>
          <cell r="F1512" t="str">
            <v xml:space="preserve">   </v>
          </cell>
          <cell r="G1512">
            <v>4011146</v>
          </cell>
          <cell r="H1512">
            <v>-6807.95</v>
          </cell>
          <cell r="I1512">
            <v>-6807.95</v>
          </cell>
          <cell r="J1512">
            <v>0</v>
          </cell>
          <cell r="K1512">
            <v>0</v>
          </cell>
          <cell r="L1512">
            <v>0</v>
          </cell>
        </row>
        <row r="1513">
          <cell r="A1513">
            <v>5</v>
          </cell>
          <cell r="B1513">
            <v>0</v>
          </cell>
          <cell r="C1513">
            <v>111</v>
          </cell>
          <cell r="D1513">
            <v>46</v>
          </cell>
          <cell r="E1513" t="str">
            <v xml:space="preserve">    </v>
          </cell>
          <cell r="F1513" t="str">
            <v xml:space="preserve">   </v>
          </cell>
          <cell r="G1513">
            <v>5011146</v>
          </cell>
          <cell r="H1513">
            <v>-6808</v>
          </cell>
          <cell r="I1513">
            <v>-6808</v>
          </cell>
          <cell r="J1513">
            <v>0</v>
          </cell>
          <cell r="K1513">
            <v>0</v>
          </cell>
          <cell r="L1513">
            <v>0</v>
          </cell>
        </row>
        <row r="1514">
          <cell r="A1514">
            <v>3</v>
          </cell>
          <cell r="B1514">
            <v>0</v>
          </cell>
          <cell r="C1514">
            <v>111</v>
          </cell>
          <cell r="D1514">
            <v>48</v>
          </cell>
          <cell r="E1514" t="str">
            <v xml:space="preserve">    </v>
          </cell>
          <cell r="F1514" t="str">
            <v xml:space="preserve">   </v>
          </cell>
          <cell r="G1514">
            <v>3011148</v>
          </cell>
          <cell r="H1514">
            <v>-201247</v>
          </cell>
          <cell r="I1514">
            <v>-201247</v>
          </cell>
          <cell r="J1514">
            <v>0</v>
          </cell>
          <cell r="K1514">
            <v>0</v>
          </cell>
          <cell r="L1514">
            <v>0</v>
          </cell>
        </row>
        <row r="1515">
          <cell r="A1515">
            <v>4</v>
          </cell>
          <cell r="B1515">
            <v>0</v>
          </cell>
          <cell r="C1515">
            <v>111</v>
          </cell>
          <cell r="D1515">
            <v>48</v>
          </cell>
          <cell r="E1515" t="str">
            <v xml:space="preserve">    </v>
          </cell>
          <cell r="F1515" t="str">
            <v xml:space="preserve">   </v>
          </cell>
          <cell r="G1515">
            <v>4011148</v>
          </cell>
          <cell r="H1515">
            <v>-219517.14</v>
          </cell>
          <cell r="I1515">
            <v>-219517.14</v>
          </cell>
          <cell r="J1515">
            <v>0</v>
          </cell>
          <cell r="K1515">
            <v>0</v>
          </cell>
          <cell r="L1515">
            <v>0</v>
          </cell>
        </row>
        <row r="1516">
          <cell r="A1516">
            <v>5</v>
          </cell>
          <cell r="B1516">
            <v>0</v>
          </cell>
          <cell r="C1516">
            <v>111</v>
          </cell>
          <cell r="D1516">
            <v>48</v>
          </cell>
          <cell r="E1516" t="str">
            <v xml:space="preserve">    </v>
          </cell>
          <cell r="F1516" t="str">
            <v xml:space="preserve">   </v>
          </cell>
          <cell r="G1516">
            <v>5011148</v>
          </cell>
          <cell r="H1516">
            <v>-222953</v>
          </cell>
          <cell r="I1516">
            <v>-222953</v>
          </cell>
          <cell r="J1516">
            <v>0</v>
          </cell>
          <cell r="K1516">
            <v>0</v>
          </cell>
          <cell r="L1516">
            <v>0</v>
          </cell>
        </row>
        <row r="1517">
          <cell r="A1517">
            <v>3</v>
          </cell>
          <cell r="B1517">
            <v>0</v>
          </cell>
          <cell r="C1517">
            <v>303</v>
          </cell>
          <cell r="D1517">
            <v>0</v>
          </cell>
          <cell r="E1517" t="str">
            <v xml:space="preserve">    </v>
          </cell>
          <cell r="F1517" t="str">
            <v xml:space="preserve">   </v>
          </cell>
          <cell r="G1517">
            <v>3030300</v>
          </cell>
          <cell r="H1517">
            <v>994335.87</v>
          </cell>
          <cell r="I1517">
            <v>994335.87</v>
          </cell>
          <cell r="J1517">
            <v>0</v>
          </cell>
          <cell r="K1517">
            <v>0</v>
          </cell>
          <cell r="L1517">
            <v>0</v>
          </cell>
        </row>
        <row r="1518">
          <cell r="A1518">
            <v>4</v>
          </cell>
          <cell r="B1518">
            <v>0</v>
          </cell>
          <cell r="C1518">
            <v>303</v>
          </cell>
          <cell r="D1518">
            <v>0</v>
          </cell>
          <cell r="E1518" t="str">
            <v xml:space="preserve">    </v>
          </cell>
          <cell r="F1518" t="str">
            <v xml:space="preserve">   </v>
          </cell>
          <cell r="G1518">
            <v>4030300</v>
          </cell>
          <cell r="H1518">
            <v>816799.17</v>
          </cell>
          <cell r="I1518">
            <v>816799.17</v>
          </cell>
          <cell r="J1518">
            <v>0</v>
          </cell>
          <cell r="K1518">
            <v>0</v>
          </cell>
          <cell r="L1518">
            <v>0</v>
          </cell>
        </row>
        <row r="1519">
          <cell r="A1519">
            <v>5</v>
          </cell>
          <cell r="B1519">
            <v>0</v>
          </cell>
          <cell r="C1519">
            <v>303</v>
          </cell>
          <cell r="D1519">
            <v>0</v>
          </cell>
          <cell r="E1519" t="str">
            <v xml:space="preserve">    </v>
          </cell>
          <cell r="F1519" t="str">
            <v xml:space="preserve">   </v>
          </cell>
          <cell r="G1519">
            <v>5030300</v>
          </cell>
          <cell r="H1519">
            <v>994335.86</v>
          </cell>
          <cell r="I1519">
            <v>994335.86</v>
          </cell>
          <cell r="J1519">
            <v>0</v>
          </cell>
          <cell r="K1519">
            <v>0</v>
          </cell>
          <cell r="L1519">
            <v>0</v>
          </cell>
        </row>
        <row r="1520">
          <cell r="A1520">
            <v>3</v>
          </cell>
          <cell r="B1520">
            <v>0</v>
          </cell>
          <cell r="C1520">
            <v>303</v>
          </cell>
          <cell r="D1520">
            <v>10</v>
          </cell>
          <cell r="E1520" t="str">
            <v xml:space="preserve">    </v>
          </cell>
          <cell r="F1520" t="str">
            <v xml:space="preserve">   </v>
          </cell>
          <cell r="G1520">
            <v>3030310</v>
          </cell>
          <cell r="H1520">
            <v>65989.48</v>
          </cell>
          <cell r="I1520">
            <v>-159020.63</v>
          </cell>
          <cell r="J1520">
            <v>225010.11</v>
          </cell>
          <cell r="K1520">
            <v>0</v>
          </cell>
          <cell r="L1520">
            <v>0</v>
          </cell>
        </row>
        <row r="1521">
          <cell r="A1521">
            <v>4</v>
          </cell>
          <cell r="B1521">
            <v>0</v>
          </cell>
          <cell r="C1521">
            <v>303</v>
          </cell>
          <cell r="D1521">
            <v>10</v>
          </cell>
          <cell r="E1521" t="str">
            <v xml:space="preserve">    </v>
          </cell>
          <cell r="F1521" t="str">
            <v xml:space="preserve">   </v>
          </cell>
          <cell r="G1521">
            <v>4030310</v>
          </cell>
          <cell r="H1521">
            <v>199725.94</v>
          </cell>
          <cell r="I1521">
            <v>-25283.78</v>
          </cell>
          <cell r="J1521">
            <v>225010.07</v>
          </cell>
          <cell r="K1521">
            <v>0</v>
          </cell>
          <cell r="L1521">
            <v>0</v>
          </cell>
        </row>
        <row r="1522">
          <cell r="A1522">
            <v>5</v>
          </cell>
          <cell r="B1522">
            <v>0</v>
          </cell>
          <cell r="C1522">
            <v>303</v>
          </cell>
          <cell r="D1522">
            <v>10</v>
          </cell>
          <cell r="E1522" t="str">
            <v xml:space="preserve">    </v>
          </cell>
          <cell r="F1522" t="str">
            <v xml:space="preserve">   </v>
          </cell>
          <cell r="G1522">
            <v>5030310</v>
          </cell>
          <cell r="H1522">
            <v>63405.49</v>
          </cell>
          <cell r="I1522">
            <v>-161604.57</v>
          </cell>
          <cell r="J1522">
            <v>225010.12</v>
          </cell>
          <cell r="K1522">
            <v>0</v>
          </cell>
          <cell r="L1522">
            <v>0</v>
          </cell>
        </row>
        <row r="1523">
          <cell r="A1523">
            <v>3</v>
          </cell>
          <cell r="B1523">
            <v>0</v>
          </cell>
          <cell r="C1523">
            <v>303</v>
          </cell>
          <cell r="D1523">
            <v>11</v>
          </cell>
          <cell r="E1523" t="str">
            <v xml:space="preserve">    </v>
          </cell>
          <cell r="F1523" t="str">
            <v xml:space="preserve">   </v>
          </cell>
          <cell r="G1523">
            <v>3030311</v>
          </cell>
          <cell r="H1523">
            <v>292433.09000000003</v>
          </cell>
          <cell r="I1523">
            <v>292433.09000000003</v>
          </cell>
          <cell r="J1523">
            <v>0</v>
          </cell>
          <cell r="K1523">
            <v>0</v>
          </cell>
          <cell r="L1523">
            <v>0</v>
          </cell>
        </row>
        <row r="1524">
          <cell r="A1524">
            <v>4</v>
          </cell>
          <cell r="B1524">
            <v>0</v>
          </cell>
          <cell r="C1524">
            <v>303</v>
          </cell>
          <cell r="D1524">
            <v>11</v>
          </cell>
          <cell r="E1524" t="str">
            <v xml:space="preserve">    </v>
          </cell>
          <cell r="F1524" t="str">
            <v xml:space="preserve">   </v>
          </cell>
          <cell r="G1524">
            <v>4030311</v>
          </cell>
          <cell r="H1524">
            <v>281675.27</v>
          </cell>
          <cell r="I1524">
            <v>281675.38</v>
          </cell>
          <cell r="J1524">
            <v>0</v>
          </cell>
          <cell r="K1524">
            <v>0</v>
          </cell>
          <cell r="L1524">
            <v>0</v>
          </cell>
        </row>
        <row r="1525">
          <cell r="A1525">
            <v>5</v>
          </cell>
          <cell r="B1525">
            <v>0</v>
          </cell>
          <cell r="C1525">
            <v>303</v>
          </cell>
          <cell r="D1525">
            <v>11</v>
          </cell>
          <cell r="E1525" t="str">
            <v xml:space="preserve">    </v>
          </cell>
          <cell r="F1525" t="str">
            <v xml:space="preserve">   </v>
          </cell>
          <cell r="G1525">
            <v>5030311</v>
          </cell>
          <cell r="H1525">
            <v>292433.05</v>
          </cell>
          <cell r="I1525">
            <v>292433.06</v>
          </cell>
          <cell r="J1525">
            <v>0</v>
          </cell>
          <cell r="K1525">
            <v>0</v>
          </cell>
          <cell r="L1525">
            <v>0</v>
          </cell>
        </row>
        <row r="1526">
          <cell r="A1526">
            <v>3</v>
          </cell>
          <cell r="B1526">
            <v>1</v>
          </cell>
          <cell r="C1526">
            <v>111</v>
          </cell>
          <cell r="D1526">
            <v>38</v>
          </cell>
          <cell r="E1526" t="str">
            <v xml:space="preserve">    </v>
          </cell>
          <cell r="F1526" t="str">
            <v xml:space="preserve">   </v>
          </cell>
          <cell r="G1526">
            <v>3111138</v>
          </cell>
          <cell r="H1526">
            <v>0</v>
          </cell>
          <cell r="I1526">
            <v>0</v>
          </cell>
          <cell r="J1526">
            <v>0</v>
          </cell>
          <cell r="K1526">
            <v>0</v>
          </cell>
          <cell r="L1526">
            <v>0</v>
          </cell>
        </row>
        <row r="1527">
          <cell r="A1527">
            <v>4</v>
          </cell>
          <cell r="B1527">
            <v>1</v>
          </cell>
          <cell r="C1527">
            <v>111</v>
          </cell>
          <cell r="D1527">
            <v>38</v>
          </cell>
          <cell r="E1527" t="str">
            <v xml:space="preserve">    </v>
          </cell>
          <cell r="F1527" t="str">
            <v xml:space="preserve">   </v>
          </cell>
          <cell r="G1527">
            <v>4111138</v>
          </cell>
          <cell r="H1527">
            <v>0</v>
          </cell>
          <cell r="I1527">
            <v>0</v>
          </cell>
          <cell r="J1527">
            <v>0</v>
          </cell>
          <cell r="K1527">
            <v>0</v>
          </cell>
          <cell r="L1527">
            <v>0</v>
          </cell>
        </row>
        <row r="1528">
          <cell r="A1528">
            <v>5</v>
          </cell>
          <cell r="B1528">
            <v>1</v>
          </cell>
          <cell r="C1528">
            <v>111</v>
          </cell>
          <cell r="D1528">
            <v>38</v>
          </cell>
          <cell r="E1528" t="str">
            <v xml:space="preserve">    </v>
          </cell>
          <cell r="F1528" t="str">
            <v xml:space="preserve">   </v>
          </cell>
          <cell r="G1528">
            <v>5111138</v>
          </cell>
          <cell r="H1528">
            <v>0</v>
          </cell>
          <cell r="I1528">
            <v>0</v>
          </cell>
          <cell r="J1528">
            <v>0</v>
          </cell>
          <cell r="K1528">
            <v>0</v>
          </cell>
          <cell r="L1528">
            <v>0</v>
          </cell>
        </row>
        <row r="1529">
          <cell r="A1529">
            <v>3</v>
          </cell>
          <cell r="B1529">
            <v>1</v>
          </cell>
          <cell r="C1529">
            <v>111</v>
          </cell>
          <cell r="D1529">
            <v>48</v>
          </cell>
          <cell r="E1529" t="str">
            <v xml:space="preserve">    </v>
          </cell>
          <cell r="F1529" t="str">
            <v xml:space="preserve">   </v>
          </cell>
          <cell r="G1529">
            <v>3111148</v>
          </cell>
          <cell r="H1529">
            <v>-1299580.33</v>
          </cell>
          <cell r="I1529">
            <v>-1299580.33</v>
          </cell>
          <cell r="J1529">
            <v>0</v>
          </cell>
          <cell r="K1529">
            <v>0</v>
          </cell>
          <cell r="L1529">
            <v>0</v>
          </cell>
        </row>
        <row r="1530">
          <cell r="A1530">
            <v>4</v>
          </cell>
          <cell r="B1530">
            <v>1</v>
          </cell>
          <cell r="C1530">
            <v>111</v>
          </cell>
          <cell r="D1530">
            <v>48</v>
          </cell>
          <cell r="E1530" t="str">
            <v xml:space="preserve">    </v>
          </cell>
          <cell r="F1530" t="str">
            <v xml:space="preserve">   </v>
          </cell>
          <cell r="G1530">
            <v>4111148</v>
          </cell>
          <cell r="H1530">
            <v>-1075074.94</v>
          </cell>
          <cell r="I1530">
            <v>-1075074.94</v>
          </cell>
          <cell r="J1530">
            <v>0</v>
          </cell>
          <cell r="K1530">
            <v>0</v>
          </cell>
          <cell r="L1530">
            <v>0</v>
          </cell>
        </row>
        <row r="1531">
          <cell r="A1531">
            <v>5</v>
          </cell>
          <cell r="B1531">
            <v>1</v>
          </cell>
          <cell r="C1531">
            <v>111</v>
          </cell>
          <cell r="D1531">
            <v>48</v>
          </cell>
          <cell r="E1531" t="str">
            <v xml:space="preserve">    </v>
          </cell>
          <cell r="F1531" t="str">
            <v xml:space="preserve">   </v>
          </cell>
          <cell r="G1531">
            <v>5111148</v>
          </cell>
          <cell r="H1531">
            <v>-1262049.32</v>
          </cell>
          <cell r="I1531">
            <v>-1262049.32</v>
          </cell>
          <cell r="J1531">
            <v>0</v>
          </cell>
          <cell r="K1531">
            <v>0</v>
          </cell>
          <cell r="L1531">
            <v>0</v>
          </cell>
        </row>
        <row r="1532">
          <cell r="A1532">
            <v>3</v>
          </cell>
          <cell r="B1532">
            <v>1</v>
          </cell>
          <cell r="C1532">
            <v>303</v>
          </cell>
          <cell r="D1532">
            <v>10</v>
          </cell>
          <cell r="E1532" t="str">
            <v xml:space="preserve">    </v>
          </cell>
          <cell r="F1532" t="str">
            <v xml:space="preserve">   </v>
          </cell>
          <cell r="G1532">
            <v>3130310</v>
          </cell>
          <cell r="H1532">
            <v>1767835.91</v>
          </cell>
          <cell r="I1532">
            <v>1767835.91</v>
          </cell>
          <cell r="J1532">
            <v>0</v>
          </cell>
          <cell r="K1532">
            <v>0</v>
          </cell>
          <cell r="L1532">
            <v>0</v>
          </cell>
        </row>
        <row r="1533">
          <cell r="A1533">
            <v>4</v>
          </cell>
          <cell r="B1533">
            <v>1</v>
          </cell>
          <cell r="C1533">
            <v>303</v>
          </cell>
          <cell r="D1533">
            <v>10</v>
          </cell>
          <cell r="E1533" t="str">
            <v xml:space="preserve">    </v>
          </cell>
          <cell r="F1533" t="str">
            <v xml:space="preserve">   </v>
          </cell>
          <cell r="G1533">
            <v>4130310</v>
          </cell>
          <cell r="H1533">
            <v>1581605.41</v>
          </cell>
          <cell r="I1533">
            <v>1581605.41</v>
          </cell>
          <cell r="J1533">
            <v>0</v>
          </cell>
          <cell r="K1533">
            <v>0</v>
          </cell>
          <cell r="L1533">
            <v>0</v>
          </cell>
        </row>
        <row r="1534">
          <cell r="A1534">
            <v>5</v>
          </cell>
          <cell r="B1534">
            <v>1</v>
          </cell>
          <cell r="C1534">
            <v>303</v>
          </cell>
          <cell r="D1534">
            <v>10</v>
          </cell>
          <cell r="E1534" t="str">
            <v xml:space="preserve">    </v>
          </cell>
          <cell r="F1534" t="str">
            <v xml:space="preserve">   </v>
          </cell>
          <cell r="G1534">
            <v>5130310</v>
          </cell>
          <cell r="H1534">
            <v>1767835.91</v>
          </cell>
          <cell r="I1534">
            <v>1767835.91</v>
          </cell>
          <cell r="J1534">
            <v>0</v>
          </cell>
          <cell r="K1534">
            <v>0</v>
          </cell>
          <cell r="L1534">
            <v>0</v>
          </cell>
        </row>
        <row r="1535">
          <cell r="A1535">
            <v>3</v>
          </cell>
          <cell r="B1535">
            <v>2</v>
          </cell>
          <cell r="C1535">
            <v>111</v>
          </cell>
          <cell r="D1535">
            <v>8</v>
          </cell>
          <cell r="E1535" t="str">
            <v xml:space="preserve">    </v>
          </cell>
          <cell r="F1535" t="str">
            <v xml:space="preserve">   </v>
          </cell>
          <cell r="G1535">
            <v>3211108</v>
          </cell>
          <cell r="H1535">
            <v>6780.35</v>
          </cell>
          <cell r="I1535">
            <v>0</v>
          </cell>
          <cell r="J1535">
            <v>0</v>
          </cell>
          <cell r="K1535">
            <v>6780.35</v>
          </cell>
          <cell r="L1535">
            <v>0</v>
          </cell>
        </row>
        <row r="1536">
          <cell r="A1536">
            <v>4</v>
          </cell>
          <cell r="B1536">
            <v>2</v>
          </cell>
          <cell r="C1536">
            <v>111</v>
          </cell>
          <cell r="D1536">
            <v>8</v>
          </cell>
          <cell r="E1536" t="str">
            <v xml:space="preserve">    </v>
          </cell>
          <cell r="F1536" t="str">
            <v xml:space="preserve">   </v>
          </cell>
          <cell r="G1536">
            <v>4211108</v>
          </cell>
          <cell r="H1536">
            <v>-5139.82</v>
          </cell>
          <cell r="I1536">
            <v>0</v>
          </cell>
          <cell r="J1536">
            <v>0</v>
          </cell>
          <cell r="K1536">
            <v>-5139.82</v>
          </cell>
          <cell r="L1536">
            <v>0</v>
          </cell>
        </row>
        <row r="1537">
          <cell r="A1537">
            <v>5</v>
          </cell>
          <cell r="B1537">
            <v>2</v>
          </cell>
          <cell r="C1537">
            <v>111</v>
          </cell>
          <cell r="D1537">
            <v>8</v>
          </cell>
          <cell r="E1537" t="str">
            <v xml:space="preserve">    </v>
          </cell>
          <cell r="F1537" t="str">
            <v xml:space="preserve">   </v>
          </cell>
          <cell r="G1537">
            <v>5211108</v>
          </cell>
          <cell r="H1537">
            <v>6780.34</v>
          </cell>
          <cell r="I1537">
            <v>0</v>
          </cell>
          <cell r="J1537">
            <v>0</v>
          </cell>
          <cell r="K1537">
            <v>6780.34</v>
          </cell>
          <cell r="L1537">
            <v>0</v>
          </cell>
        </row>
        <row r="1538">
          <cell r="A1538">
            <v>3</v>
          </cell>
          <cell r="B1538">
            <v>2</v>
          </cell>
          <cell r="C1538">
            <v>111</v>
          </cell>
          <cell r="D1538">
            <v>11</v>
          </cell>
          <cell r="E1538" t="str">
            <v xml:space="preserve">    </v>
          </cell>
          <cell r="F1538" t="str">
            <v xml:space="preserve">   </v>
          </cell>
          <cell r="G1538">
            <v>3211111</v>
          </cell>
          <cell r="H1538">
            <v>0</v>
          </cell>
          <cell r="I1538">
            <v>0</v>
          </cell>
          <cell r="J1538">
            <v>0</v>
          </cell>
          <cell r="K1538">
            <v>0</v>
          </cell>
          <cell r="L1538">
            <v>0</v>
          </cell>
        </row>
        <row r="1539">
          <cell r="A1539">
            <v>4</v>
          </cell>
          <cell r="B1539">
            <v>2</v>
          </cell>
          <cell r="C1539">
            <v>111</v>
          </cell>
          <cell r="D1539">
            <v>11</v>
          </cell>
          <cell r="E1539" t="str">
            <v xml:space="preserve">    </v>
          </cell>
          <cell r="F1539" t="str">
            <v xml:space="preserve">   </v>
          </cell>
          <cell r="G1539">
            <v>4211111</v>
          </cell>
          <cell r="H1539">
            <v>0</v>
          </cell>
          <cell r="I1539">
            <v>0</v>
          </cell>
          <cell r="J1539">
            <v>0</v>
          </cell>
          <cell r="K1539">
            <v>0</v>
          </cell>
          <cell r="L1539">
            <v>0</v>
          </cell>
        </row>
        <row r="1540">
          <cell r="A1540">
            <v>5</v>
          </cell>
          <cell r="B1540">
            <v>2</v>
          </cell>
          <cell r="C1540">
            <v>111</v>
          </cell>
          <cell r="D1540">
            <v>11</v>
          </cell>
          <cell r="E1540" t="str">
            <v xml:space="preserve">    </v>
          </cell>
          <cell r="F1540" t="str">
            <v xml:space="preserve">   </v>
          </cell>
          <cell r="G1540">
            <v>5211111</v>
          </cell>
          <cell r="H1540">
            <v>0</v>
          </cell>
          <cell r="I1540">
            <v>0</v>
          </cell>
          <cell r="J1540">
            <v>0</v>
          </cell>
          <cell r="K1540">
            <v>0</v>
          </cell>
          <cell r="L1540">
            <v>0</v>
          </cell>
        </row>
        <row r="1541">
          <cell r="A1541">
            <v>3</v>
          </cell>
          <cell r="B1541">
            <v>2</v>
          </cell>
          <cell r="C1541">
            <v>111</v>
          </cell>
          <cell r="D1541">
            <v>48</v>
          </cell>
          <cell r="E1541" t="str">
            <v xml:space="preserve">    </v>
          </cell>
          <cell r="F1541" t="str">
            <v xml:space="preserve">   </v>
          </cell>
          <cell r="G1541">
            <v>3211148</v>
          </cell>
          <cell r="H1541">
            <v>-1505352.26</v>
          </cell>
          <cell r="I1541">
            <v>-1505352.26</v>
          </cell>
          <cell r="J1541">
            <v>0</v>
          </cell>
          <cell r="K1541">
            <v>0</v>
          </cell>
          <cell r="L1541">
            <v>0</v>
          </cell>
        </row>
        <row r="1542">
          <cell r="A1542">
            <v>4</v>
          </cell>
          <cell r="B1542">
            <v>2</v>
          </cell>
          <cell r="C1542">
            <v>111</v>
          </cell>
          <cell r="D1542">
            <v>48</v>
          </cell>
          <cell r="E1542" t="str">
            <v xml:space="preserve">    </v>
          </cell>
          <cell r="F1542" t="str">
            <v xml:space="preserve">   </v>
          </cell>
          <cell r="G1542">
            <v>4211148</v>
          </cell>
          <cell r="H1542">
            <v>-1504852.15</v>
          </cell>
          <cell r="I1542">
            <v>-1504852.15</v>
          </cell>
          <cell r="J1542">
            <v>0</v>
          </cell>
          <cell r="K1542">
            <v>0</v>
          </cell>
          <cell r="L1542">
            <v>0</v>
          </cell>
        </row>
        <row r="1543">
          <cell r="A1543">
            <v>5</v>
          </cell>
          <cell r="B1543">
            <v>2</v>
          </cell>
          <cell r="C1543">
            <v>111</v>
          </cell>
          <cell r="D1543">
            <v>48</v>
          </cell>
          <cell r="E1543" t="str">
            <v xml:space="preserve">    </v>
          </cell>
          <cell r="F1543" t="str">
            <v xml:space="preserve">   </v>
          </cell>
          <cell r="G1543">
            <v>5211148</v>
          </cell>
          <cell r="H1543">
            <v>-1505310.6</v>
          </cell>
          <cell r="I1543">
            <v>-1505310.6</v>
          </cell>
          <cell r="J1543">
            <v>0</v>
          </cell>
          <cell r="K1543">
            <v>0</v>
          </cell>
          <cell r="L1543">
            <v>0</v>
          </cell>
        </row>
        <row r="1544">
          <cell r="A1544">
            <v>3</v>
          </cell>
          <cell r="B1544">
            <v>2</v>
          </cell>
          <cell r="C1544">
            <v>114</v>
          </cell>
          <cell r="D1544">
            <v>68</v>
          </cell>
          <cell r="E1544" t="str">
            <v xml:space="preserve">    </v>
          </cell>
          <cell r="F1544" t="str">
            <v xml:space="preserve">   </v>
          </cell>
          <cell r="G1544">
            <v>3211468</v>
          </cell>
          <cell r="H1544">
            <v>22456902.800000001</v>
          </cell>
          <cell r="I1544">
            <v>0</v>
          </cell>
          <cell r="J1544">
            <v>22456902.800000001</v>
          </cell>
          <cell r="K1544">
            <v>0</v>
          </cell>
          <cell r="L1544">
            <v>0</v>
          </cell>
        </row>
        <row r="1545">
          <cell r="A1545">
            <v>4</v>
          </cell>
          <cell r="B1545">
            <v>2</v>
          </cell>
          <cell r="C1545">
            <v>114</v>
          </cell>
          <cell r="D1545">
            <v>68</v>
          </cell>
          <cell r="E1545" t="str">
            <v xml:space="preserve">    </v>
          </cell>
          <cell r="F1545" t="str">
            <v xml:space="preserve">   </v>
          </cell>
          <cell r="G1545">
            <v>4211468</v>
          </cell>
          <cell r="H1545">
            <v>22456902.719999999</v>
          </cell>
          <cell r="I1545">
            <v>0</v>
          </cell>
          <cell r="J1545">
            <v>22456902.719999999</v>
          </cell>
          <cell r="K1545">
            <v>0</v>
          </cell>
          <cell r="L1545">
            <v>0</v>
          </cell>
        </row>
        <row r="1546">
          <cell r="A1546">
            <v>5</v>
          </cell>
          <cell r="B1546">
            <v>2</v>
          </cell>
          <cell r="C1546">
            <v>114</v>
          </cell>
          <cell r="D1546">
            <v>68</v>
          </cell>
          <cell r="E1546" t="str">
            <v xml:space="preserve">    </v>
          </cell>
          <cell r="F1546" t="str">
            <v xml:space="preserve">   </v>
          </cell>
          <cell r="G1546">
            <v>5211468</v>
          </cell>
          <cell r="H1546">
            <v>22456902.800000001</v>
          </cell>
          <cell r="I1546">
            <v>0</v>
          </cell>
          <cell r="J1546">
            <v>22456902.800000001</v>
          </cell>
          <cell r="K1546">
            <v>0</v>
          </cell>
          <cell r="L1546">
            <v>0</v>
          </cell>
        </row>
        <row r="1547">
          <cell r="A1547">
            <v>3</v>
          </cell>
          <cell r="B1547">
            <v>2</v>
          </cell>
          <cell r="C1547">
            <v>114</v>
          </cell>
          <cell r="D1547">
            <v>78</v>
          </cell>
          <cell r="E1547" t="str">
            <v xml:space="preserve">    </v>
          </cell>
          <cell r="F1547" t="str">
            <v xml:space="preserve">   </v>
          </cell>
          <cell r="G1547">
            <v>3211478</v>
          </cell>
          <cell r="H1547">
            <v>4123170.26</v>
          </cell>
          <cell r="I1547">
            <v>0</v>
          </cell>
          <cell r="J1547">
            <v>0</v>
          </cell>
          <cell r="K1547">
            <v>4123170.26</v>
          </cell>
          <cell r="L1547">
            <v>0</v>
          </cell>
        </row>
        <row r="1548">
          <cell r="A1548">
            <v>4</v>
          </cell>
          <cell r="B1548">
            <v>2</v>
          </cell>
          <cell r="C1548">
            <v>114</v>
          </cell>
          <cell r="D1548">
            <v>78</v>
          </cell>
          <cell r="E1548" t="str">
            <v xml:space="preserve">    </v>
          </cell>
          <cell r="F1548" t="str">
            <v xml:space="preserve">   </v>
          </cell>
          <cell r="G1548">
            <v>4211478</v>
          </cell>
          <cell r="H1548">
            <v>4123170.24</v>
          </cell>
          <cell r="I1548">
            <v>0</v>
          </cell>
          <cell r="J1548">
            <v>0</v>
          </cell>
          <cell r="K1548">
            <v>4123170.24</v>
          </cell>
          <cell r="L1548">
            <v>0</v>
          </cell>
        </row>
        <row r="1549">
          <cell r="A1549">
            <v>5</v>
          </cell>
          <cell r="B1549">
            <v>2</v>
          </cell>
          <cell r="C1549">
            <v>114</v>
          </cell>
          <cell r="D1549">
            <v>78</v>
          </cell>
          <cell r="E1549" t="str">
            <v xml:space="preserve">    </v>
          </cell>
          <cell r="F1549" t="str">
            <v xml:space="preserve">   </v>
          </cell>
          <cell r="G1549">
            <v>5211478</v>
          </cell>
          <cell r="H1549">
            <v>4123170.26</v>
          </cell>
          <cell r="I1549">
            <v>0</v>
          </cell>
          <cell r="J1549">
            <v>0</v>
          </cell>
          <cell r="K1549">
            <v>4123170.26</v>
          </cell>
          <cell r="L1549">
            <v>0</v>
          </cell>
        </row>
        <row r="1550">
          <cell r="A1550">
            <v>3</v>
          </cell>
          <cell r="B1550">
            <v>2</v>
          </cell>
          <cell r="C1550">
            <v>115</v>
          </cell>
          <cell r="D1550">
            <v>68</v>
          </cell>
          <cell r="E1550" t="str">
            <v xml:space="preserve">    </v>
          </cell>
          <cell r="F1550" t="str">
            <v xml:space="preserve">   </v>
          </cell>
          <cell r="G1550">
            <v>3211568</v>
          </cell>
          <cell r="H1550">
            <v>-8211889.3700000001</v>
          </cell>
          <cell r="I1550">
            <v>0</v>
          </cell>
          <cell r="J1550">
            <v>-8211889.3700000001</v>
          </cell>
          <cell r="K1550">
            <v>0</v>
          </cell>
          <cell r="L1550">
            <v>0</v>
          </cell>
        </row>
        <row r="1551">
          <cell r="A1551">
            <v>4</v>
          </cell>
          <cell r="B1551">
            <v>2</v>
          </cell>
          <cell r="C1551">
            <v>115</v>
          </cell>
          <cell r="D1551">
            <v>68</v>
          </cell>
          <cell r="E1551" t="str">
            <v xml:space="preserve">    </v>
          </cell>
          <cell r="F1551" t="str">
            <v xml:space="preserve">   </v>
          </cell>
          <cell r="G1551">
            <v>4211568</v>
          </cell>
          <cell r="H1551">
            <v>-7653261.2800000003</v>
          </cell>
          <cell r="I1551">
            <v>0</v>
          </cell>
          <cell r="J1551">
            <v>-7653261.2800000003</v>
          </cell>
          <cell r="K1551">
            <v>0</v>
          </cell>
          <cell r="L1551">
            <v>0</v>
          </cell>
        </row>
        <row r="1552">
          <cell r="A1552">
            <v>5</v>
          </cell>
          <cell r="B1552">
            <v>2</v>
          </cell>
          <cell r="C1552">
            <v>115</v>
          </cell>
          <cell r="D1552">
            <v>68</v>
          </cell>
          <cell r="E1552" t="str">
            <v xml:space="preserve">    </v>
          </cell>
          <cell r="F1552" t="str">
            <v xml:space="preserve">   </v>
          </cell>
          <cell r="G1552">
            <v>5211568</v>
          </cell>
          <cell r="H1552">
            <v>-8165337.0300000003</v>
          </cell>
          <cell r="I1552">
            <v>0</v>
          </cell>
          <cell r="J1552">
            <v>-8165337.0300000003</v>
          </cell>
          <cell r="K1552">
            <v>0</v>
          </cell>
          <cell r="L1552">
            <v>0</v>
          </cell>
        </row>
        <row r="1553">
          <cell r="A1553">
            <v>3</v>
          </cell>
          <cell r="B1553">
            <v>2</v>
          </cell>
          <cell r="C1553">
            <v>115</v>
          </cell>
          <cell r="D1553">
            <v>78</v>
          </cell>
          <cell r="E1553" t="str">
            <v xml:space="preserve">    </v>
          </cell>
          <cell r="F1553" t="str">
            <v xml:space="preserve">   </v>
          </cell>
          <cell r="G1553">
            <v>3211578</v>
          </cell>
          <cell r="H1553">
            <v>-1494660</v>
          </cell>
          <cell r="I1553">
            <v>0</v>
          </cell>
          <cell r="J1553">
            <v>0</v>
          </cell>
          <cell r="K1553">
            <v>-1494660</v>
          </cell>
          <cell r="L1553">
            <v>0</v>
          </cell>
        </row>
        <row r="1554">
          <cell r="A1554">
            <v>4</v>
          </cell>
          <cell r="B1554">
            <v>2</v>
          </cell>
          <cell r="C1554">
            <v>115</v>
          </cell>
          <cell r="D1554">
            <v>78</v>
          </cell>
          <cell r="E1554" t="str">
            <v xml:space="preserve">    </v>
          </cell>
          <cell r="F1554" t="str">
            <v xml:space="preserve">   </v>
          </cell>
          <cell r="G1554">
            <v>4211578</v>
          </cell>
          <cell r="H1554">
            <v>-1391579.96</v>
          </cell>
          <cell r="I1554">
            <v>0</v>
          </cell>
          <cell r="J1554">
            <v>0</v>
          </cell>
          <cell r="K1554">
            <v>-1391579.96</v>
          </cell>
          <cell r="L1554">
            <v>0</v>
          </cell>
        </row>
        <row r="1555">
          <cell r="A1555">
            <v>5</v>
          </cell>
          <cell r="B1555">
            <v>2</v>
          </cell>
          <cell r="C1555">
            <v>115</v>
          </cell>
          <cell r="D1555">
            <v>78</v>
          </cell>
          <cell r="E1555" t="str">
            <v xml:space="preserve">    </v>
          </cell>
          <cell r="F1555" t="str">
            <v xml:space="preserve">   </v>
          </cell>
          <cell r="G1555">
            <v>5211578</v>
          </cell>
          <cell r="H1555">
            <v>-1486070</v>
          </cell>
          <cell r="I1555">
            <v>0</v>
          </cell>
          <cell r="J1555">
            <v>0</v>
          </cell>
          <cell r="K1555">
            <v>-1486070</v>
          </cell>
          <cell r="L1555">
            <v>0</v>
          </cell>
        </row>
        <row r="1556">
          <cell r="A1556">
            <v>3</v>
          </cell>
          <cell r="B1556">
            <v>2</v>
          </cell>
          <cell r="C1556">
            <v>303</v>
          </cell>
          <cell r="D1556">
            <v>10</v>
          </cell>
          <cell r="E1556" t="str">
            <v xml:space="preserve">    </v>
          </cell>
          <cell r="F1556" t="str">
            <v xml:space="preserve">   </v>
          </cell>
          <cell r="G1556">
            <v>3230310</v>
          </cell>
          <cell r="H1556">
            <v>1506852.34</v>
          </cell>
          <cell r="I1556">
            <v>1501852.34</v>
          </cell>
          <cell r="J1556">
            <v>5000</v>
          </cell>
          <cell r="K1556">
            <v>0</v>
          </cell>
          <cell r="L1556">
            <v>0</v>
          </cell>
        </row>
        <row r="1557">
          <cell r="A1557">
            <v>4</v>
          </cell>
          <cell r="B1557">
            <v>2</v>
          </cell>
          <cell r="C1557">
            <v>303</v>
          </cell>
          <cell r="D1557">
            <v>10</v>
          </cell>
          <cell r="E1557" t="str">
            <v xml:space="preserve">    </v>
          </cell>
          <cell r="F1557" t="str">
            <v xml:space="preserve">   </v>
          </cell>
          <cell r="G1557">
            <v>4230310</v>
          </cell>
          <cell r="H1557">
            <v>1506852.24</v>
          </cell>
          <cell r="I1557">
            <v>1501852.32</v>
          </cell>
          <cell r="J1557">
            <v>4999.92</v>
          </cell>
          <cell r="K1557">
            <v>0</v>
          </cell>
          <cell r="L1557">
            <v>0</v>
          </cell>
        </row>
        <row r="1558">
          <cell r="A1558">
            <v>5</v>
          </cell>
          <cell r="B1558">
            <v>2</v>
          </cell>
          <cell r="C1558">
            <v>303</v>
          </cell>
          <cell r="D1558">
            <v>10</v>
          </cell>
          <cell r="E1558" t="str">
            <v xml:space="preserve">    </v>
          </cell>
          <cell r="F1558" t="str">
            <v xml:space="preserve">   </v>
          </cell>
          <cell r="G1558">
            <v>5230310</v>
          </cell>
          <cell r="H1558">
            <v>1506852.34</v>
          </cell>
          <cell r="I1558">
            <v>1501852.34</v>
          </cell>
          <cell r="J1558">
            <v>5000</v>
          </cell>
          <cell r="K1558">
            <v>0</v>
          </cell>
          <cell r="L1558">
            <v>0</v>
          </cell>
        </row>
        <row r="1559">
          <cell r="A1559">
            <v>3</v>
          </cell>
          <cell r="B1559">
            <v>2</v>
          </cell>
          <cell r="C1559">
            <v>303</v>
          </cell>
          <cell r="D1559">
            <v>12</v>
          </cell>
          <cell r="E1559" t="str">
            <v xml:space="preserve">    </v>
          </cell>
          <cell r="F1559" t="str">
            <v xml:space="preserve">   </v>
          </cell>
          <cell r="G1559">
            <v>3230312</v>
          </cell>
          <cell r="H1559">
            <v>0</v>
          </cell>
          <cell r="I1559">
            <v>0</v>
          </cell>
          <cell r="J1559">
            <v>0</v>
          </cell>
          <cell r="K1559">
            <v>0</v>
          </cell>
          <cell r="L1559">
            <v>0</v>
          </cell>
        </row>
        <row r="1560">
          <cell r="A1560">
            <v>4</v>
          </cell>
          <cell r="B1560">
            <v>2</v>
          </cell>
          <cell r="C1560">
            <v>303</v>
          </cell>
          <cell r="D1560">
            <v>12</v>
          </cell>
          <cell r="E1560" t="str">
            <v xml:space="preserve">    </v>
          </cell>
          <cell r="F1560" t="str">
            <v xml:space="preserve">   </v>
          </cell>
          <cell r="G1560">
            <v>4230312</v>
          </cell>
          <cell r="H1560">
            <v>0</v>
          </cell>
          <cell r="I1560">
            <v>0</v>
          </cell>
          <cell r="J1560">
            <v>0</v>
          </cell>
          <cell r="K1560">
            <v>0</v>
          </cell>
          <cell r="L1560">
            <v>0</v>
          </cell>
        </row>
        <row r="1561">
          <cell r="A1561">
            <v>5</v>
          </cell>
          <cell r="B1561">
            <v>2</v>
          </cell>
          <cell r="C1561">
            <v>303</v>
          </cell>
          <cell r="D1561">
            <v>12</v>
          </cell>
          <cell r="E1561" t="str">
            <v xml:space="preserve">    </v>
          </cell>
          <cell r="F1561" t="str">
            <v xml:space="preserve">   </v>
          </cell>
          <cell r="G1561">
            <v>5230312</v>
          </cell>
          <cell r="H1561">
            <v>0</v>
          </cell>
          <cell r="I1561">
            <v>0</v>
          </cell>
          <cell r="J1561">
            <v>0</v>
          </cell>
          <cell r="K1561">
            <v>0</v>
          </cell>
          <cell r="L1561">
            <v>0</v>
          </cell>
        </row>
        <row r="1562">
          <cell r="A1562">
            <v>3</v>
          </cell>
          <cell r="B1562">
            <v>7</v>
          </cell>
          <cell r="C1562">
            <v>111</v>
          </cell>
          <cell r="D1562">
            <v>16</v>
          </cell>
          <cell r="E1562" t="str">
            <v xml:space="preserve">    </v>
          </cell>
          <cell r="F1562" t="str">
            <v xml:space="preserve">   </v>
          </cell>
          <cell r="G1562">
            <v>3711116</v>
          </cell>
          <cell r="H1562">
            <v>3885.07</v>
          </cell>
          <cell r="I1562">
            <v>3885.07</v>
          </cell>
          <cell r="J1562">
            <v>0</v>
          </cell>
          <cell r="K1562">
            <v>0</v>
          </cell>
          <cell r="L1562">
            <v>0</v>
          </cell>
        </row>
        <row r="1563">
          <cell r="A1563">
            <v>4</v>
          </cell>
          <cell r="B1563">
            <v>7</v>
          </cell>
          <cell r="C1563">
            <v>111</v>
          </cell>
          <cell r="D1563">
            <v>16</v>
          </cell>
          <cell r="E1563" t="str">
            <v xml:space="preserve">    </v>
          </cell>
          <cell r="F1563" t="str">
            <v xml:space="preserve">   </v>
          </cell>
          <cell r="G1563">
            <v>4711116</v>
          </cell>
          <cell r="H1563">
            <v>3884.99</v>
          </cell>
          <cell r="I1563">
            <v>3884.99</v>
          </cell>
          <cell r="J1563">
            <v>0</v>
          </cell>
          <cell r="K1563">
            <v>0</v>
          </cell>
          <cell r="L1563">
            <v>0</v>
          </cell>
        </row>
        <row r="1564">
          <cell r="A1564">
            <v>5</v>
          </cell>
          <cell r="B1564">
            <v>7</v>
          </cell>
          <cell r="C1564">
            <v>111</v>
          </cell>
          <cell r="D1564">
            <v>16</v>
          </cell>
          <cell r="E1564" t="str">
            <v xml:space="preserve">    </v>
          </cell>
          <cell r="F1564" t="str">
            <v xml:space="preserve">   </v>
          </cell>
          <cell r="G1564">
            <v>5711116</v>
          </cell>
          <cell r="H1564">
            <v>3885.06</v>
          </cell>
          <cell r="I1564">
            <v>3885.06</v>
          </cell>
          <cell r="J1564">
            <v>0</v>
          </cell>
          <cell r="K1564">
            <v>0</v>
          </cell>
          <cell r="L1564">
            <v>0</v>
          </cell>
        </row>
        <row r="1565">
          <cell r="A1565">
            <v>3</v>
          </cell>
          <cell r="B1565">
            <v>7</v>
          </cell>
          <cell r="C1565">
            <v>111</v>
          </cell>
          <cell r="D1565">
            <v>36</v>
          </cell>
          <cell r="E1565" t="str">
            <v xml:space="preserve">    </v>
          </cell>
          <cell r="F1565" t="str">
            <v xml:space="preserve">   </v>
          </cell>
          <cell r="G1565">
            <v>3711136</v>
          </cell>
          <cell r="H1565">
            <v>14650.42</v>
          </cell>
          <cell r="I1565">
            <v>14650.42</v>
          </cell>
          <cell r="J1565">
            <v>0</v>
          </cell>
          <cell r="K1565">
            <v>0</v>
          </cell>
          <cell r="L1565">
            <v>0</v>
          </cell>
        </row>
        <row r="1566">
          <cell r="A1566">
            <v>4</v>
          </cell>
          <cell r="B1566">
            <v>7</v>
          </cell>
          <cell r="C1566">
            <v>111</v>
          </cell>
          <cell r="D1566">
            <v>36</v>
          </cell>
          <cell r="E1566" t="str">
            <v xml:space="preserve">    </v>
          </cell>
          <cell r="F1566" t="str">
            <v xml:space="preserve">   </v>
          </cell>
          <cell r="G1566">
            <v>4711136</v>
          </cell>
          <cell r="H1566">
            <v>13271.81</v>
          </cell>
          <cell r="I1566">
            <v>13271.81</v>
          </cell>
          <cell r="J1566">
            <v>0</v>
          </cell>
          <cell r="K1566">
            <v>0</v>
          </cell>
          <cell r="L1566">
            <v>0</v>
          </cell>
        </row>
        <row r="1567">
          <cell r="A1567">
            <v>5</v>
          </cell>
          <cell r="B1567">
            <v>7</v>
          </cell>
          <cell r="C1567">
            <v>111</v>
          </cell>
          <cell r="D1567">
            <v>36</v>
          </cell>
          <cell r="E1567" t="str">
            <v xml:space="preserve">    </v>
          </cell>
          <cell r="F1567" t="str">
            <v xml:space="preserve">   </v>
          </cell>
          <cell r="G1567">
            <v>5711136</v>
          </cell>
          <cell r="H1567">
            <v>13931.19</v>
          </cell>
          <cell r="I1567">
            <v>13931.19</v>
          </cell>
          <cell r="J1567">
            <v>0</v>
          </cell>
          <cell r="K1567">
            <v>0</v>
          </cell>
          <cell r="L1567">
            <v>0</v>
          </cell>
        </row>
        <row r="1568">
          <cell r="A1568">
            <v>3</v>
          </cell>
          <cell r="B1568">
            <v>7</v>
          </cell>
          <cell r="C1568">
            <v>111</v>
          </cell>
          <cell r="D1568">
            <v>38</v>
          </cell>
          <cell r="E1568" t="str">
            <v xml:space="preserve">    </v>
          </cell>
          <cell r="F1568" t="str">
            <v xml:space="preserve">   </v>
          </cell>
          <cell r="G1568">
            <v>3711138</v>
          </cell>
          <cell r="H1568">
            <v>7863032.7800000003</v>
          </cell>
          <cell r="I1568">
            <v>7863032.7800000003</v>
          </cell>
          <cell r="J1568">
            <v>0</v>
          </cell>
          <cell r="K1568">
            <v>0</v>
          </cell>
          <cell r="L1568">
            <v>0</v>
          </cell>
        </row>
        <row r="1569">
          <cell r="A1569">
            <v>4</v>
          </cell>
          <cell r="B1569">
            <v>7</v>
          </cell>
          <cell r="C1569">
            <v>111</v>
          </cell>
          <cell r="D1569">
            <v>38</v>
          </cell>
          <cell r="E1569" t="str">
            <v xml:space="preserve">    </v>
          </cell>
          <cell r="F1569" t="str">
            <v xml:space="preserve">   </v>
          </cell>
          <cell r="G1569">
            <v>4711138</v>
          </cell>
          <cell r="H1569">
            <v>7863032.6299999999</v>
          </cell>
          <cell r="I1569">
            <v>7863032.6299999999</v>
          </cell>
          <cell r="J1569">
            <v>0</v>
          </cell>
          <cell r="K1569">
            <v>0</v>
          </cell>
          <cell r="L1569">
            <v>0</v>
          </cell>
        </row>
        <row r="1570">
          <cell r="A1570">
            <v>5</v>
          </cell>
          <cell r="B1570">
            <v>7</v>
          </cell>
          <cell r="C1570">
            <v>111</v>
          </cell>
          <cell r="D1570">
            <v>38</v>
          </cell>
          <cell r="E1570" t="str">
            <v xml:space="preserve">    </v>
          </cell>
          <cell r="F1570" t="str">
            <v xml:space="preserve">   </v>
          </cell>
          <cell r="G1570">
            <v>5711138</v>
          </cell>
          <cell r="H1570">
            <v>7863032.7800000003</v>
          </cell>
          <cell r="I1570">
            <v>7863032.7800000003</v>
          </cell>
          <cell r="J1570">
            <v>0</v>
          </cell>
          <cell r="K1570">
            <v>0</v>
          </cell>
          <cell r="L1570">
            <v>0</v>
          </cell>
        </row>
        <row r="1571">
          <cell r="A1571">
            <v>3</v>
          </cell>
          <cell r="B1571">
            <v>7</v>
          </cell>
          <cell r="C1571">
            <v>111</v>
          </cell>
          <cell r="D1571">
            <v>46</v>
          </cell>
          <cell r="E1571" t="str">
            <v xml:space="preserve">    </v>
          </cell>
          <cell r="F1571" t="str">
            <v xml:space="preserve">   </v>
          </cell>
          <cell r="G1571">
            <v>3711146</v>
          </cell>
          <cell r="H1571">
            <v>-2955706</v>
          </cell>
          <cell r="I1571">
            <v>-2955706</v>
          </cell>
          <cell r="J1571">
            <v>0</v>
          </cell>
          <cell r="K1571">
            <v>0</v>
          </cell>
          <cell r="L1571">
            <v>0</v>
          </cell>
        </row>
        <row r="1572">
          <cell r="A1572">
            <v>4</v>
          </cell>
          <cell r="B1572">
            <v>7</v>
          </cell>
          <cell r="C1572">
            <v>111</v>
          </cell>
          <cell r="D1572">
            <v>46</v>
          </cell>
          <cell r="E1572" t="str">
            <v xml:space="preserve">    </v>
          </cell>
          <cell r="F1572" t="str">
            <v xml:space="preserve">   </v>
          </cell>
          <cell r="G1572">
            <v>4711146</v>
          </cell>
          <cell r="H1572">
            <v>-2649344</v>
          </cell>
          <cell r="I1572">
            <v>-2649344</v>
          </cell>
          <cell r="J1572">
            <v>0</v>
          </cell>
          <cell r="K1572">
            <v>0</v>
          </cell>
          <cell r="L1572">
            <v>0</v>
          </cell>
        </row>
        <row r="1573">
          <cell r="A1573">
            <v>5</v>
          </cell>
          <cell r="B1573">
            <v>7</v>
          </cell>
          <cell r="C1573">
            <v>111</v>
          </cell>
          <cell r="D1573">
            <v>46</v>
          </cell>
          <cell r="E1573" t="str">
            <v xml:space="preserve">    </v>
          </cell>
          <cell r="F1573" t="str">
            <v xml:space="preserve">   </v>
          </cell>
          <cell r="G1573">
            <v>5711146</v>
          </cell>
          <cell r="H1573">
            <v>-2921671</v>
          </cell>
          <cell r="I1573">
            <v>-2921671</v>
          </cell>
          <cell r="J1573">
            <v>0</v>
          </cell>
          <cell r="K1573">
            <v>0</v>
          </cell>
          <cell r="L1573">
            <v>0</v>
          </cell>
        </row>
        <row r="1574">
          <cell r="A1574">
            <v>3</v>
          </cell>
          <cell r="B1574">
            <v>7</v>
          </cell>
          <cell r="C1574">
            <v>111</v>
          </cell>
          <cell r="D1574">
            <v>48</v>
          </cell>
          <cell r="E1574" t="str">
            <v xml:space="preserve">    </v>
          </cell>
          <cell r="F1574" t="str">
            <v xml:space="preserve">   </v>
          </cell>
          <cell r="G1574">
            <v>3711148</v>
          </cell>
          <cell r="H1574">
            <v>-10773833.140000001</v>
          </cell>
          <cell r="I1574">
            <v>-10773833.140000001</v>
          </cell>
          <cell r="J1574">
            <v>0</v>
          </cell>
          <cell r="K1574">
            <v>0</v>
          </cell>
          <cell r="L1574">
            <v>0</v>
          </cell>
        </row>
        <row r="1575">
          <cell r="A1575">
            <v>4</v>
          </cell>
          <cell r="B1575">
            <v>7</v>
          </cell>
          <cell r="C1575">
            <v>111</v>
          </cell>
          <cell r="D1575">
            <v>48</v>
          </cell>
          <cell r="E1575" t="str">
            <v xml:space="preserve">    </v>
          </cell>
          <cell r="F1575" t="str">
            <v xml:space="preserve">   </v>
          </cell>
          <cell r="G1575">
            <v>4711148</v>
          </cell>
          <cell r="H1575">
            <v>-10445227.369999999</v>
          </cell>
          <cell r="I1575">
            <v>-10445227.369999999</v>
          </cell>
          <cell r="J1575">
            <v>0</v>
          </cell>
          <cell r="K1575">
            <v>0</v>
          </cell>
          <cell r="L1575">
            <v>0</v>
          </cell>
        </row>
        <row r="1576">
          <cell r="A1576">
            <v>5</v>
          </cell>
          <cell r="B1576">
            <v>7</v>
          </cell>
          <cell r="C1576">
            <v>111</v>
          </cell>
          <cell r="D1576">
            <v>48</v>
          </cell>
          <cell r="E1576" t="str">
            <v xml:space="preserve">    </v>
          </cell>
          <cell r="F1576" t="str">
            <v xml:space="preserve">   </v>
          </cell>
          <cell r="G1576">
            <v>5711148</v>
          </cell>
          <cell r="H1576">
            <v>-10787679.140000001</v>
          </cell>
          <cell r="I1576">
            <v>-10787679.140000001</v>
          </cell>
          <cell r="J1576">
            <v>0</v>
          </cell>
          <cell r="K1576">
            <v>0</v>
          </cell>
          <cell r="L1576">
            <v>0</v>
          </cell>
        </row>
        <row r="1577">
          <cell r="A1577">
            <v>3</v>
          </cell>
          <cell r="B1577">
            <v>7</v>
          </cell>
          <cell r="C1577">
            <v>303</v>
          </cell>
          <cell r="D1577">
            <v>10</v>
          </cell>
          <cell r="E1577" t="str">
            <v xml:space="preserve">    </v>
          </cell>
          <cell r="F1577" t="str">
            <v xml:space="preserve">   </v>
          </cell>
          <cell r="G1577">
            <v>3730310</v>
          </cell>
          <cell r="H1577">
            <v>2131545.5</v>
          </cell>
          <cell r="I1577">
            <v>2131545.5</v>
          </cell>
          <cell r="J1577">
            <v>0</v>
          </cell>
          <cell r="K1577">
            <v>0</v>
          </cell>
          <cell r="L1577">
            <v>0</v>
          </cell>
        </row>
        <row r="1578">
          <cell r="A1578">
            <v>4</v>
          </cell>
          <cell r="B1578">
            <v>7</v>
          </cell>
          <cell r="C1578">
            <v>303</v>
          </cell>
          <cell r="D1578">
            <v>10</v>
          </cell>
          <cell r="E1578" t="str">
            <v xml:space="preserve">    </v>
          </cell>
          <cell r="F1578" t="str">
            <v xml:space="preserve">   </v>
          </cell>
          <cell r="G1578">
            <v>4730310</v>
          </cell>
          <cell r="H1578">
            <v>1948299.17</v>
          </cell>
          <cell r="I1578">
            <v>1948299.17</v>
          </cell>
          <cell r="J1578">
            <v>0</v>
          </cell>
          <cell r="K1578">
            <v>0</v>
          </cell>
          <cell r="L1578">
            <v>0</v>
          </cell>
        </row>
        <row r="1579">
          <cell r="A1579">
            <v>5</v>
          </cell>
          <cell r="B1579">
            <v>7</v>
          </cell>
          <cell r="C1579">
            <v>303</v>
          </cell>
          <cell r="D1579">
            <v>10</v>
          </cell>
          <cell r="E1579" t="str">
            <v xml:space="preserve">    </v>
          </cell>
          <cell r="F1579" t="str">
            <v xml:space="preserve">   </v>
          </cell>
          <cell r="G1579">
            <v>5730310</v>
          </cell>
          <cell r="H1579">
            <v>2124351.87</v>
          </cell>
          <cell r="I1579">
            <v>2124351.87</v>
          </cell>
          <cell r="J1579">
            <v>0</v>
          </cell>
          <cell r="K1579">
            <v>0</v>
          </cell>
          <cell r="L1579">
            <v>0</v>
          </cell>
        </row>
        <row r="1580">
          <cell r="A1580">
            <v>3</v>
          </cell>
          <cell r="B1580">
            <v>7</v>
          </cell>
          <cell r="C1580">
            <v>303</v>
          </cell>
          <cell r="D1580">
            <v>11</v>
          </cell>
          <cell r="E1580" t="str">
            <v xml:space="preserve">    </v>
          </cell>
          <cell r="F1580" t="str">
            <v xml:space="preserve">   </v>
          </cell>
          <cell r="G1580">
            <v>3730311</v>
          </cell>
          <cell r="H1580">
            <v>3751454.19</v>
          </cell>
          <cell r="I1580">
            <v>3751454.19</v>
          </cell>
          <cell r="J1580">
            <v>0</v>
          </cell>
          <cell r="K1580">
            <v>0</v>
          </cell>
          <cell r="L1580">
            <v>0</v>
          </cell>
        </row>
        <row r="1581">
          <cell r="A1581">
            <v>4</v>
          </cell>
          <cell r="B1581">
            <v>7</v>
          </cell>
          <cell r="C1581">
            <v>303</v>
          </cell>
          <cell r="D1581">
            <v>11</v>
          </cell>
          <cell r="E1581" t="str">
            <v xml:space="preserve">    </v>
          </cell>
          <cell r="F1581" t="str">
            <v xml:space="preserve">   </v>
          </cell>
          <cell r="G1581">
            <v>4730311</v>
          </cell>
          <cell r="H1581">
            <v>2597272.15</v>
          </cell>
          <cell r="I1581">
            <v>2597272.15</v>
          </cell>
          <cell r="J1581">
            <v>0</v>
          </cell>
          <cell r="K1581">
            <v>0</v>
          </cell>
          <cell r="L1581">
            <v>0</v>
          </cell>
        </row>
        <row r="1582">
          <cell r="A1582">
            <v>5</v>
          </cell>
          <cell r="B1582">
            <v>7</v>
          </cell>
          <cell r="C1582">
            <v>303</v>
          </cell>
          <cell r="D1582">
            <v>11</v>
          </cell>
          <cell r="E1582" t="str">
            <v xml:space="preserve">    </v>
          </cell>
          <cell r="F1582" t="str">
            <v xml:space="preserve">   </v>
          </cell>
          <cell r="G1582">
            <v>5730311</v>
          </cell>
          <cell r="H1582">
            <v>3213457.64</v>
          </cell>
          <cell r="I1582">
            <v>3213457.64</v>
          </cell>
          <cell r="J1582">
            <v>0</v>
          </cell>
          <cell r="K1582">
            <v>0</v>
          </cell>
          <cell r="L1582">
            <v>0</v>
          </cell>
        </row>
        <row r="1583">
          <cell r="A1583">
            <v>3</v>
          </cell>
          <cell r="B1583">
            <v>8</v>
          </cell>
          <cell r="C1583">
            <v>111</v>
          </cell>
          <cell r="D1583">
            <v>48</v>
          </cell>
          <cell r="E1583" t="str">
            <v xml:space="preserve">    </v>
          </cell>
          <cell r="F1583" t="str">
            <v xml:space="preserve">   </v>
          </cell>
          <cell r="G1583">
            <v>3811148</v>
          </cell>
          <cell r="H1583">
            <v>-81000</v>
          </cell>
          <cell r="I1583">
            <v>-81000</v>
          </cell>
          <cell r="J1583">
            <v>0</v>
          </cell>
          <cell r="K1583">
            <v>0</v>
          </cell>
          <cell r="L1583">
            <v>0</v>
          </cell>
        </row>
        <row r="1584">
          <cell r="A1584">
            <v>4</v>
          </cell>
          <cell r="B1584">
            <v>8</v>
          </cell>
          <cell r="C1584">
            <v>111</v>
          </cell>
          <cell r="D1584">
            <v>48</v>
          </cell>
          <cell r="E1584" t="str">
            <v xml:space="preserve">    </v>
          </cell>
          <cell r="F1584" t="str">
            <v xml:space="preserve">   </v>
          </cell>
          <cell r="G1584">
            <v>4811148</v>
          </cell>
          <cell r="H1584">
            <v>-81000</v>
          </cell>
          <cell r="I1584">
            <v>-81000</v>
          </cell>
          <cell r="J1584">
            <v>0</v>
          </cell>
          <cell r="K1584">
            <v>0</v>
          </cell>
          <cell r="L1584">
            <v>0</v>
          </cell>
        </row>
        <row r="1585">
          <cell r="A1585">
            <v>5</v>
          </cell>
          <cell r="B1585">
            <v>8</v>
          </cell>
          <cell r="C1585">
            <v>111</v>
          </cell>
          <cell r="D1585">
            <v>48</v>
          </cell>
          <cell r="E1585" t="str">
            <v xml:space="preserve">    </v>
          </cell>
          <cell r="F1585" t="str">
            <v xml:space="preserve">   </v>
          </cell>
          <cell r="G1585">
            <v>5811148</v>
          </cell>
          <cell r="H1585">
            <v>-81000</v>
          </cell>
          <cell r="I1585">
            <v>-81000</v>
          </cell>
          <cell r="J1585">
            <v>0</v>
          </cell>
          <cell r="K1585">
            <v>0</v>
          </cell>
          <cell r="L1585">
            <v>0</v>
          </cell>
        </row>
        <row r="1586">
          <cell r="A1586">
            <v>3</v>
          </cell>
          <cell r="B1586">
            <v>8</v>
          </cell>
          <cell r="C1586">
            <v>303</v>
          </cell>
          <cell r="D1586">
            <v>12</v>
          </cell>
          <cell r="E1586" t="str">
            <v xml:space="preserve">    </v>
          </cell>
          <cell r="F1586" t="str">
            <v xml:space="preserve">   </v>
          </cell>
          <cell r="G1586">
            <v>3830312</v>
          </cell>
          <cell r="H1586">
            <v>81000</v>
          </cell>
          <cell r="I1586">
            <v>81000</v>
          </cell>
          <cell r="J1586">
            <v>0</v>
          </cell>
          <cell r="K1586">
            <v>0</v>
          </cell>
          <cell r="L1586">
            <v>0</v>
          </cell>
        </row>
        <row r="1587">
          <cell r="A1587">
            <v>4</v>
          </cell>
          <cell r="B1587">
            <v>8</v>
          </cell>
          <cell r="C1587">
            <v>303</v>
          </cell>
          <cell r="D1587">
            <v>12</v>
          </cell>
          <cell r="E1587" t="str">
            <v xml:space="preserve">    </v>
          </cell>
          <cell r="F1587" t="str">
            <v xml:space="preserve">   </v>
          </cell>
          <cell r="G1587">
            <v>4830312</v>
          </cell>
          <cell r="H1587">
            <v>81000</v>
          </cell>
          <cell r="I1587">
            <v>81000</v>
          </cell>
          <cell r="J1587">
            <v>0</v>
          </cell>
          <cell r="K1587">
            <v>0</v>
          </cell>
          <cell r="L1587">
            <v>0</v>
          </cell>
        </row>
        <row r="1588">
          <cell r="A1588">
            <v>5</v>
          </cell>
          <cell r="B1588">
            <v>8</v>
          </cell>
          <cell r="C1588">
            <v>303</v>
          </cell>
          <cell r="D1588">
            <v>12</v>
          </cell>
          <cell r="E1588" t="str">
            <v xml:space="preserve">    </v>
          </cell>
          <cell r="F1588" t="str">
            <v xml:space="preserve">   </v>
          </cell>
          <cell r="G1588">
            <v>5830312</v>
          </cell>
          <cell r="H1588">
            <v>81000</v>
          </cell>
          <cell r="I1588">
            <v>81000</v>
          </cell>
          <cell r="J1588">
            <v>0</v>
          </cell>
          <cell r="K1588">
            <v>0</v>
          </cell>
          <cell r="L1588">
            <v>0</v>
          </cell>
        </row>
        <row r="1589">
          <cell r="A1589">
            <v>3</v>
          </cell>
          <cell r="B1589">
            <v>9</v>
          </cell>
          <cell r="C1589">
            <v>111</v>
          </cell>
          <cell r="D1589">
            <v>46</v>
          </cell>
          <cell r="E1589" t="str">
            <v xml:space="preserve">    </v>
          </cell>
          <cell r="F1589" t="str">
            <v xml:space="preserve">   </v>
          </cell>
          <cell r="G1589">
            <v>3911146</v>
          </cell>
          <cell r="H1589">
            <v>-160886</v>
          </cell>
          <cell r="I1589">
            <v>0</v>
          </cell>
          <cell r="J1589">
            <v>0</v>
          </cell>
          <cell r="K1589">
            <v>-160886</v>
          </cell>
          <cell r="L1589">
            <v>0</v>
          </cell>
        </row>
        <row r="1590">
          <cell r="A1590">
            <v>4</v>
          </cell>
          <cell r="B1590">
            <v>9</v>
          </cell>
          <cell r="C1590">
            <v>111</v>
          </cell>
          <cell r="D1590">
            <v>46</v>
          </cell>
          <cell r="E1590" t="str">
            <v xml:space="preserve">    </v>
          </cell>
          <cell r="F1590" t="str">
            <v xml:space="preserve">   </v>
          </cell>
          <cell r="G1590">
            <v>4911146</v>
          </cell>
          <cell r="H1590">
            <v>-133742.79</v>
          </cell>
          <cell r="I1590">
            <v>0</v>
          </cell>
          <cell r="J1590">
            <v>0</v>
          </cell>
          <cell r="K1590">
            <v>-133742.79</v>
          </cell>
          <cell r="L1590">
            <v>0</v>
          </cell>
        </row>
        <row r="1591">
          <cell r="A1591">
            <v>5</v>
          </cell>
          <cell r="B1591">
            <v>9</v>
          </cell>
          <cell r="C1591">
            <v>111</v>
          </cell>
          <cell r="D1591">
            <v>46</v>
          </cell>
          <cell r="E1591" t="str">
            <v xml:space="preserve">    </v>
          </cell>
          <cell r="F1591" t="str">
            <v xml:space="preserve">   </v>
          </cell>
          <cell r="G1591">
            <v>5911146</v>
          </cell>
          <cell r="H1591">
            <v>-157601.5</v>
          </cell>
          <cell r="I1591">
            <v>0</v>
          </cell>
          <cell r="J1591">
            <v>0</v>
          </cell>
          <cell r="K1591">
            <v>-157601.5</v>
          </cell>
          <cell r="L1591">
            <v>0</v>
          </cell>
        </row>
        <row r="1592">
          <cell r="A1592">
            <v>3</v>
          </cell>
          <cell r="B1592">
            <v>9</v>
          </cell>
          <cell r="C1592">
            <v>111</v>
          </cell>
          <cell r="D1592">
            <v>56</v>
          </cell>
          <cell r="E1592" t="str">
            <v xml:space="preserve">    </v>
          </cell>
          <cell r="F1592" t="str">
            <v xml:space="preserve">   </v>
          </cell>
          <cell r="G1592">
            <v>3911156</v>
          </cell>
          <cell r="H1592">
            <v>-79442.259999999995</v>
          </cell>
          <cell r="I1592">
            <v>0</v>
          </cell>
          <cell r="J1592">
            <v>0</v>
          </cell>
          <cell r="K1592">
            <v>-79442.259999999995</v>
          </cell>
          <cell r="L1592">
            <v>0</v>
          </cell>
        </row>
        <row r="1593">
          <cell r="A1593">
            <v>4</v>
          </cell>
          <cell r="B1593">
            <v>9</v>
          </cell>
          <cell r="C1593">
            <v>111</v>
          </cell>
          <cell r="D1593">
            <v>56</v>
          </cell>
          <cell r="E1593" t="str">
            <v xml:space="preserve">    </v>
          </cell>
          <cell r="F1593" t="str">
            <v xml:space="preserve">   </v>
          </cell>
          <cell r="G1593">
            <v>4911156</v>
          </cell>
          <cell r="H1593">
            <v>-79442.16</v>
          </cell>
          <cell r="I1593">
            <v>0</v>
          </cell>
          <cell r="J1593">
            <v>0</v>
          </cell>
          <cell r="K1593">
            <v>-79442.16</v>
          </cell>
          <cell r="L1593">
            <v>0</v>
          </cell>
        </row>
        <row r="1594">
          <cell r="A1594">
            <v>5</v>
          </cell>
          <cell r="B1594">
            <v>9</v>
          </cell>
          <cell r="C1594">
            <v>111</v>
          </cell>
          <cell r="D1594">
            <v>56</v>
          </cell>
          <cell r="E1594" t="str">
            <v xml:space="preserve">    </v>
          </cell>
          <cell r="F1594" t="str">
            <v xml:space="preserve">   </v>
          </cell>
          <cell r="G1594">
            <v>5911156</v>
          </cell>
          <cell r="H1594">
            <v>-79442.259999999995</v>
          </cell>
          <cell r="I1594">
            <v>0</v>
          </cell>
          <cell r="J1594">
            <v>0</v>
          </cell>
          <cell r="K1594">
            <v>-79442.259999999995</v>
          </cell>
          <cell r="L1594">
            <v>0</v>
          </cell>
        </row>
        <row r="1595">
          <cell r="A1595">
            <v>3</v>
          </cell>
          <cell r="B1595">
            <v>9</v>
          </cell>
          <cell r="C1595">
            <v>124</v>
          </cell>
          <cell r="D1595">
            <v>30</v>
          </cell>
          <cell r="E1595" t="str">
            <v xml:space="preserve">    </v>
          </cell>
          <cell r="F1595" t="str">
            <v xml:space="preserve">   </v>
          </cell>
          <cell r="G1595">
            <v>3912430</v>
          </cell>
          <cell r="H1595">
            <v>1332.92</v>
          </cell>
          <cell r="I1595">
            <v>1332.92</v>
          </cell>
          <cell r="J1595">
            <v>0</v>
          </cell>
          <cell r="K1595">
            <v>0</v>
          </cell>
          <cell r="L1595">
            <v>0</v>
          </cell>
        </row>
        <row r="1596">
          <cell r="A1596">
            <v>4</v>
          </cell>
          <cell r="B1596">
            <v>9</v>
          </cell>
          <cell r="C1596">
            <v>124</v>
          </cell>
          <cell r="D1596">
            <v>30</v>
          </cell>
          <cell r="E1596" t="str">
            <v xml:space="preserve">    </v>
          </cell>
          <cell r="F1596" t="str">
            <v xml:space="preserve">   </v>
          </cell>
          <cell r="G1596">
            <v>4912430</v>
          </cell>
          <cell r="H1596">
            <v>7803.51</v>
          </cell>
          <cell r="I1596">
            <v>7803.51</v>
          </cell>
          <cell r="J1596">
            <v>0</v>
          </cell>
          <cell r="K1596">
            <v>0</v>
          </cell>
          <cell r="L1596">
            <v>0</v>
          </cell>
        </row>
        <row r="1597">
          <cell r="A1597">
            <v>5</v>
          </cell>
          <cell r="B1597">
            <v>9</v>
          </cell>
          <cell r="C1597">
            <v>124</v>
          </cell>
          <cell r="D1597">
            <v>30</v>
          </cell>
          <cell r="E1597" t="str">
            <v xml:space="preserve">    </v>
          </cell>
          <cell r="F1597" t="str">
            <v xml:space="preserve">   </v>
          </cell>
          <cell r="G1597">
            <v>5912430</v>
          </cell>
          <cell r="H1597">
            <v>1332.9</v>
          </cell>
          <cell r="I1597">
            <v>1332.9</v>
          </cell>
          <cell r="J1597">
            <v>0</v>
          </cell>
          <cell r="K1597">
            <v>0</v>
          </cell>
          <cell r="L1597">
            <v>0</v>
          </cell>
        </row>
        <row r="1598">
          <cell r="A1598">
            <v>3</v>
          </cell>
          <cell r="B1598">
            <v>9</v>
          </cell>
          <cell r="C1598">
            <v>124</v>
          </cell>
          <cell r="D1598">
            <v>35</v>
          </cell>
          <cell r="E1598" t="str">
            <v xml:space="preserve">    </v>
          </cell>
          <cell r="F1598" t="str">
            <v xml:space="preserve">   </v>
          </cell>
          <cell r="G1598">
            <v>3912435</v>
          </cell>
          <cell r="H1598">
            <v>113081.43</v>
          </cell>
          <cell r="I1598">
            <v>0</v>
          </cell>
          <cell r="J1598">
            <v>0</v>
          </cell>
          <cell r="K1598">
            <v>113081.43</v>
          </cell>
          <cell r="L1598">
            <v>0</v>
          </cell>
        </row>
        <row r="1599">
          <cell r="A1599">
            <v>4</v>
          </cell>
          <cell r="B1599">
            <v>9</v>
          </cell>
          <cell r="C1599">
            <v>124</v>
          </cell>
          <cell r="D1599">
            <v>35</v>
          </cell>
          <cell r="E1599" t="str">
            <v xml:space="preserve">    </v>
          </cell>
          <cell r="F1599" t="str">
            <v xml:space="preserve">   </v>
          </cell>
          <cell r="G1599">
            <v>4912435</v>
          </cell>
          <cell r="H1599">
            <v>116759.91</v>
          </cell>
          <cell r="I1599">
            <v>0</v>
          </cell>
          <cell r="J1599">
            <v>0</v>
          </cell>
          <cell r="K1599">
            <v>116759.91</v>
          </cell>
          <cell r="L1599">
            <v>0</v>
          </cell>
        </row>
        <row r="1600">
          <cell r="A1600">
            <v>5</v>
          </cell>
          <cell r="B1600">
            <v>9</v>
          </cell>
          <cell r="C1600">
            <v>124</v>
          </cell>
          <cell r="D1600">
            <v>35</v>
          </cell>
          <cell r="E1600" t="str">
            <v xml:space="preserve">    </v>
          </cell>
          <cell r="F1600" t="str">
            <v xml:space="preserve">   </v>
          </cell>
          <cell r="G1600">
            <v>5912435</v>
          </cell>
          <cell r="H1600">
            <v>114200.82</v>
          </cell>
          <cell r="I1600">
            <v>0</v>
          </cell>
          <cell r="J1600">
            <v>0</v>
          </cell>
          <cell r="K1600">
            <v>114200.82</v>
          </cell>
          <cell r="L1600">
            <v>0</v>
          </cell>
        </row>
        <row r="1601">
          <cell r="A1601">
            <v>3</v>
          </cell>
          <cell r="B1601">
            <v>9</v>
          </cell>
          <cell r="C1601">
            <v>124</v>
          </cell>
          <cell r="D1601">
            <v>40</v>
          </cell>
          <cell r="E1601" t="str">
            <v xml:space="preserve">    </v>
          </cell>
          <cell r="F1601" t="str">
            <v xml:space="preserve">   </v>
          </cell>
          <cell r="G1601">
            <v>3912440</v>
          </cell>
          <cell r="H1601">
            <v>0</v>
          </cell>
          <cell r="I1601">
            <v>0</v>
          </cell>
          <cell r="J1601">
            <v>0</v>
          </cell>
          <cell r="K1601">
            <v>0</v>
          </cell>
          <cell r="L1601">
            <v>0</v>
          </cell>
        </row>
        <row r="1602">
          <cell r="A1602">
            <v>4</v>
          </cell>
          <cell r="B1602">
            <v>9</v>
          </cell>
          <cell r="C1602">
            <v>124</v>
          </cell>
          <cell r="D1602">
            <v>40</v>
          </cell>
          <cell r="E1602" t="str">
            <v xml:space="preserve">    </v>
          </cell>
          <cell r="F1602" t="str">
            <v xml:space="preserve">   </v>
          </cell>
          <cell r="G1602">
            <v>4912440</v>
          </cell>
          <cell r="H1602">
            <v>3704.82</v>
          </cell>
          <cell r="I1602">
            <v>3704.82</v>
          </cell>
          <cell r="J1602">
            <v>0</v>
          </cell>
          <cell r="K1602">
            <v>0</v>
          </cell>
          <cell r="L1602">
            <v>0</v>
          </cell>
        </row>
        <row r="1603">
          <cell r="A1603">
            <v>5</v>
          </cell>
          <cell r="B1603">
            <v>9</v>
          </cell>
          <cell r="C1603">
            <v>124</v>
          </cell>
          <cell r="D1603">
            <v>40</v>
          </cell>
          <cell r="E1603" t="str">
            <v xml:space="preserve">    </v>
          </cell>
          <cell r="F1603" t="str">
            <v xml:space="preserve">   </v>
          </cell>
          <cell r="G1603">
            <v>5912440</v>
          </cell>
          <cell r="H1603">
            <v>0</v>
          </cell>
          <cell r="I1603">
            <v>0</v>
          </cell>
          <cell r="J1603">
            <v>0</v>
          </cell>
          <cell r="K1603">
            <v>0</v>
          </cell>
          <cell r="L1603">
            <v>0</v>
          </cell>
        </row>
        <row r="1604">
          <cell r="A1604">
            <v>3</v>
          </cell>
          <cell r="B1604">
            <v>9</v>
          </cell>
          <cell r="C1604">
            <v>124</v>
          </cell>
          <cell r="D1604">
            <v>50</v>
          </cell>
          <cell r="E1604" t="str">
            <v xml:space="preserve">    </v>
          </cell>
          <cell r="F1604" t="str">
            <v xml:space="preserve">   </v>
          </cell>
          <cell r="G1604">
            <v>3912450</v>
          </cell>
          <cell r="H1604">
            <v>5898.49</v>
          </cell>
          <cell r="I1604">
            <v>5898.49</v>
          </cell>
          <cell r="J1604">
            <v>0</v>
          </cell>
          <cell r="K1604">
            <v>0</v>
          </cell>
          <cell r="L1604">
            <v>0</v>
          </cell>
        </row>
        <row r="1605">
          <cell r="A1605">
            <v>4</v>
          </cell>
          <cell r="B1605">
            <v>9</v>
          </cell>
          <cell r="C1605">
            <v>124</v>
          </cell>
          <cell r="D1605">
            <v>50</v>
          </cell>
          <cell r="E1605" t="str">
            <v xml:space="preserve">    </v>
          </cell>
          <cell r="F1605" t="str">
            <v xml:space="preserve">   </v>
          </cell>
          <cell r="G1605">
            <v>4912450</v>
          </cell>
          <cell r="H1605">
            <v>10016.69</v>
          </cell>
          <cell r="I1605">
            <v>10016.69</v>
          </cell>
          <cell r="J1605">
            <v>0</v>
          </cell>
          <cell r="K1605">
            <v>0</v>
          </cell>
          <cell r="L1605">
            <v>0</v>
          </cell>
        </row>
        <row r="1606">
          <cell r="A1606">
            <v>5</v>
          </cell>
          <cell r="B1606">
            <v>9</v>
          </cell>
          <cell r="C1606">
            <v>124</v>
          </cell>
          <cell r="D1606">
            <v>50</v>
          </cell>
          <cell r="E1606" t="str">
            <v xml:space="preserve">    </v>
          </cell>
          <cell r="F1606" t="str">
            <v xml:space="preserve">   </v>
          </cell>
          <cell r="G1606">
            <v>5912450</v>
          </cell>
          <cell r="H1606">
            <v>6209.95</v>
          </cell>
          <cell r="I1606">
            <v>6209.95</v>
          </cell>
          <cell r="J1606">
            <v>0</v>
          </cell>
          <cell r="K1606">
            <v>0</v>
          </cell>
          <cell r="L1606">
            <v>0</v>
          </cell>
        </row>
        <row r="1607">
          <cell r="A1607">
            <v>3</v>
          </cell>
          <cell r="B1607">
            <v>9</v>
          </cell>
          <cell r="C1607">
            <v>124</v>
          </cell>
          <cell r="D1607">
            <v>90</v>
          </cell>
          <cell r="E1607" t="str">
            <v xml:space="preserve">    </v>
          </cell>
          <cell r="F1607" t="str">
            <v xml:space="preserve">   </v>
          </cell>
          <cell r="G1607">
            <v>3912490</v>
          </cell>
          <cell r="H1607">
            <v>113340000</v>
          </cell>
          <cell r="I1607">
            <v>0</v>
          </cell>
          <cell r="J1607">
            <v>82378952</v>
          </cell>
          <cell r="K1607">
            <v>30961048</v>
          </cell>
          <cell r="L1607">
            <v>0</v>
          </cell>
        </row>
        <row r="1608">
          <cell r="A1608">
            <v>4</v>
          </cell>
          <cell r="B1608">
            <v>9</v>
          </cell>
          <cell r="C1608">
            <v>124</v>
          </cell>
          <cell r="D1608">
            <v>90</v>
          </cell>
          <cell r="E1608" t="str">
            <v xml:space="preserve">    </v>
          </cell>
          <cell r="F1608" t="str">
            <v xml:space="preserve">   </v>
          </cell>
          <cell r="G1608">
            <v>4912490</v>
          </cell>
          <cell r="H1608">
            <v>113339999.87</v>
          </cell>
          <cell r="I1608">
            <v>0</v>
          </cell>
          <cell r="J1608">
            <v>82378951.920000002</v>
          </cell>
          <cell r="K1608">
            <v>30961047.949999999</v>
          </cell>
          <cell r="L1608">
            <v>0</v>
          </cell>
        </row>
        <row r="1609">
          <cell r="A1609">
            <v>5</v>
          </cell>
          <cell r="B1609">
            <v>9</v>
          </cell>
          <cell r="C1609">
            <v>124</v>
          </cell>
          <cell r="D1609">
            <v>90</v>
          </cell>
          <cell r="E1609" t="str">
            <v xml:space="preserve">    </v>
          </cell>
          <cell r="F1609" t="str">
            <v xml:space="preserve">   </v>
          </cell>
          <cell r="G1609">
            <v>5912490</v>
          </cell>
          <cell r="H1609">
            <v>113340000</v>
          </cell>
          <cell r="I1609">
            <v>0</v>
          </cell>
          <cell r="J1609">
            <v>82378952</v>
          </cell>
          <cell r="K1609">
            <v>30961048</v>
          </cell>
          <cell r="L1609">
            <v>0</v>
          </cell>
        </row>
        <row r="1610">
          <cell r="A1610">
            <v>3</v>
          </cell>
          <cell r="B1610">
            <v>9</v>
          </cell>
          <cell r="C1610">
            <v>124</v>
          </cell>
          <cell r="D1610">
            <v>93</v>
          </cell>
          <cell r="E1610" t="str">
            <v xml:space="preserve">    </v>
          </cell>
          <cell r="F1610" t="str">
            <v xml:space="preserve">   </v>
          </cell>
          <cell r="G1610">
            <v>3912493</v>
          </cell>
          <cell r="H1610">
            <v>-29986302</v>
          </cell>
          <cell r="I1610">
            <v>0</v>
          </cell>
          <cell r="J1610">
            <v>-29986302</v>
          </cell>
          <cell r="K1610">
            <v>0</v>
          </cell>
          <cell r="L1610">
            <v>0</v>
          </cell>
        </row>
        <row r="1611">
          <cell r="A1611">
            <v>4</v>
          </cell>
          <cell r="B1611">
            <v>9</v>
          </cell>
          <cell r="C1611">
            <v>124</v>
          </cell>
          <cell r="D1611">
            <v>93</v>
          </cell>
          <cell r="E1611" t="str">
            <v xml:space="preserve">    </v>
          </cell>
          <cell r="F1611" t="str">
            <v xml:space="preserve">   </v>
          </cell>
          <cell r="G1611">
            <v>4912493</v>
          </cell>
          <cell r="H1611">
            <v>-28720337.960000001</v>
          </cell>
          <cell r="I1611">
            <v>0</v>
          </cell>
          <cell r="J1611">
            <v>-28720337.960000001</v>
          </cell>
          <cell r="K1611">
            <v>0</v>
          </cell>
          <cell r="L1611">
            <v>0</v>
          </cell>
        </row>
        <row r="1612">
          <cell r="A1612">
            <v>5</v>
          </cell>
          <cell r="B1612">
            <v>9</v>
          </cell>
          <cell r="C1612">
            <v>124</v>
          </cell>
          <cell r="D1612">
            <v>93</v>
          </cell>
          <cell r="E1612" t="str">
            <v xml:space="preserve">    </v>
          </cell>
          <cell r="F1612" t="str">
            <v xml:space="preserve">   </v>
          </cell>
          <cell r="G1612">
            <v>5912493</v>
          </cell>
          <cell r="H1612">
            <v>-29880805</v>
          </cell>
          <cell r="I1612">
            <v>0</v>
          </cell>
          <cell r="J1612">
            <v>-29880805</v>
          </cell>
          <cell r="K1612">
            <v>0</v>
          </cell>
          <cell r="L1612">
            <v>0</v>
          </cell>
        </row>
        <row r="1613">
          <cell r="A1613">
            <v>3</v>
          </cell>
          <cell r="B1613">
            <v>9</v>
          </cell>
          <cell r="C1613">
            <v>124</v>
          </cell>
          <cell r="D1613">
            <v>94</v>
          </cell>
          <cell r="E1613" t="str">
            <v xml:space="preserve">    </v>
          </cell>
          <cell r="F1613" t="str">
            <v xml:space="preserve">   </v>
          </cell>
          <cell r="G1613">
            <v>3912494</v>
          </cell>
          <cell r="H1613">
            <v>2739667</v>
          </cell>
          <cell r="I1613">
            <v>0</v>
          </cell>
          <cell r="J1613">
            <v>0</v>
          </cell>
          <cell r="K1613">
            <v>2739667</v>
          </cell>
          <cell r="L1613">
            <v>0</v>
          </cell>
        </row>
        <row r="1614">
          <cell r="A1614">
            <v>4</v>
          </cell>
          <cell r="B1614">
            <v>9</v>
          </cell>
          <cell r="C1614">
            <v>124</v>
          </cell>
          <cell r="D1614">
            <v>94</v>
          </cell>
          <cell r="E1614" t="str">
            <v xml:space="preserve">    </v>
          </cell>
          <cell r="F1614" t="str">
            <v xml:space="preserve">   </v>
          </cell>
          <cell r="G1614">
            <v>4912494</v>
          </cell>
          <cell r="H1614">
            <v>3129785.46</v>
          </cell>
          <cell r="I1614">
            <v>0</v>
          </cell>
          <cell r="J1614">
            <v>0</v>
          </cell>
          <cell r="K1614">
            <v>3129785.46</v>
          </cell>
          <cell r="L1614">
            <v>0</v>
          </cell>
        </row>
        <row r="1615">
          <cell r="A1615">
            <v>5</v>
          </cell>
          <cell r="B1615">
            <v>9</v>
          </cell>
          <cell r="C1615">
            <v>124</v>
          </cell>
          <cell r="D1615">
            <v>94</v>
          </cell>
          <cell r="E1615" t="str">
            <v xml:space="preserve">    </v>
          </cell>
          <cell r="F1615" t="str">
            <v xml:space="preserve">   </v>
          </cell>
          <cell r="G1615">
            <v>5912494</v>
          </cell>
          <cell r="H1615">
            <v>2775238.5</v>
          </cell>
          <cell r="I1615">
            <v>0</v>
          </cell>
          <cell r="J1615">
            <v>0</v>
          </cell>
          <cell r="K1615">
            <v>2775238.5</v>
          </cell>
          <cell r="L1615">
            <v>0</v>
          </cell>
        </row>
        <row r="1616">
          <cell r="A1616">
            <v>3</v>
          </cell>
          <cell r="B1616">
            <v>9</v>
          </cell>
          <cell r="C1616">
            <v>124</v>
          </cell>
          <cell r="D1616">
            <v>95</v>
          </cell>
          <cell r="E1616" t="str">
            <v xml:space="preserve">    </v>
          </cell>
          <cell r="F1616" t="str">
            <v xml:space="preserve">   </v>
          </cell>
          <cell r="G1616">
            <v>3912495</v>
          </cell>
          <cell r="H1616">
            <v>-25304049</v>
          </cell>
          <cell r="I1616">
            <v>0</v>
          </cell>
          <cell r="J1616">
            <v>0</v>
          </cell>
          <cell r="K1616">
            <v>-25304049</v>
          </cell>
          <cell r="L1616">
            <v>0</v>
          </cell>
        </row>
        <row r="1617">
          <cell r="A1617">
            <v>4</v>
          </cell>
          <cell r="B1617">
            <v>9</v>
          </cell>
          <cell r="C1617">
            <v>124</v>
          </cell>
          <cell r="D1617">
            <v>95</v>
          </cell>
          <cell r="E1617" t="str">
            <v xml:space="preserve">    </v>
          </cell>
          <cell r="F1617" t="str">
            <v xml:space="preserve">   </v>
          </cell>
          <cell r="G1617">
            <v>4912495</v>
          </cell>
          <cell r="H1617">
            <v>-24047594.989999998</v>
          </cell>
          <cell r="I1617">
            <v>0</v>
          </cell>
          <cell r="J1617">
            <v>0</v>
          </cell>
          <cell r="K1617">
            <v>-24047594.989999998</v>
          </cell>
          <cell r="L1617">
            <v>0</v>
          </cell>
        </row>
        <row r="1618">
          <cell r="A1618">
            <v>5</v>
          </cell>
          <cell r="B1618">
            <v>9</v>
          </cell>
          <cell r="C1618">
            <v>124</v>
          </cell>
          <cell r="D1618">
            <v>95</v>
          </cell>
          <cell r="E1618" t="str">
            <v xml:space="preserve">    </v>
          </cell>
          <cell r="F1618" t="str">
            <v xml:space="preserve">   </v>
          </cell>
          <cell r="G1618">
            <v>5912495</v>
          </cell>
          <cell r="H1618">
            <v>-25199344.5</v>
          </cell>
          <cell r="I1618">
            <v>0</v>
          </cell>
          <cell r="J1618">
            <v>0</v>
          </cell>
          <cell r="K1618">
            <v>-25199344.5</v>
          </cell>
          <cell r="L1618">
            <v>0</v>
          </cell>
        </row>
        <row r="1619">
          <cell r="A1619">
            <v>3</v>
          </cell>
          <cell r="B1619">
            <v>9</v>
          </cell>
          <cell r="C1619">
            <v>164</v>
          </cell>
          <cell r="D1619">
            <v>10</v>
          </cell>
          <cell r="E1619" t="str">
            <v xml:space="preserve">    </v>
          </cell>
          <cell r="F1619" t="str">
            <v xml:space="preserve">   </v>
          </cell>
          <cell r="G1619">
            <v>3916410</v>
          </cell>
          <cell r="H1619">
            <v>2385871.37</v>
          </cell>
          <cell r="I1619">
            <v>2385871.37</v>
          </cell>
          <cell r="J1619">
            <v>0</v>
          </cell>
          <cell r="K1619">
            <v>0</v>
          </cell>
          <cell r="L1619">
            <v>0</v>
          </cell>
        </row>
        <row r="1620">
          <cell r="A1620">
            <v>4</v>
          </cell>
          <cell r="B1620">
            <v>9</v>
          </cell>
          <cell r="C1620">
            <v>164</v>
          </cell>
          <cell r="D1620">
            <v>10</v>
          </cell>
          <cell r="E1620" t="str">
            <v xml:space="preserve">    </v>
          </cell>
          <cell r="F1620" t="str">
            <v xml:space="preserve">   </v>
          </cell>
          <cell r="G1620">
            <v>4916410</v>
          </cell>
          <cell r="H1620">
            <v>1745626.56</v>
          </cell>
          <cell r="I1620">
            <v>1745626.56</v>
          </cell>
          <cell r="J1620">
            <v>0</v>
          </cell>
          <cell r="K1620">
            <v>0</v>
          </cell>
          <cell r="L1620">
            <v>0</v>
          </cell>
        </row>
        <row r="1621">
          <cell r="A1621">
            <v>5</v>
          </cell>
          <cell r="B1621">
            <v>9</v>
          </cell>
          <cell r="C1621">
            <v>164</v>
          </cell>
          <cell r="D1621">
            <v>10</v>
          </cell>
          <cell r="E1621" t="str">
            <v xml:space="preserve">    </v>
          </cell>
          <cell r="F1621" t="str">
            <v xml:space="preserve">   </v>
          </cell>
          <cell r="G1621">
            <v>5916410</v>
          </cell>
          <cell r="H1621">
            <v>2987217.44</v>
          </cell>
          <cell r="I1621">
            <v>2987217.44</v>
          </cell>
          <cell r="J1621">
            <v>0</v>
          </cell>
          <cell r="K1621">
            <v>0</v>
          </cell>
          <cell r="L1621">
            <v>0</v>
          </cell>
        </row>
        <row r="1622">
          <cell r="A1622">
            <v>3</v>
          </cell>
          <cell r="B1622">
            <v>9</v>
          </cell>
          <cell r="C1622">
            <v>164</v>
          </cell>
          <cell r="D1622">
            <v>16</v>
          </cell>
          <cell r="E1622" t="str">
            <v xml:space="preserve">    </v>
          </cell>
          <cell r="F1622" t="str">
            <v xml:space="preserve">   </v>
          </cell>
          <cell r="G1622">
            <v>3916416</v>
          </cell>
          <cell r="H1622">
            <v>91265.23</v>
          </cell>
          <cell r="I1622">
            <v>0</v>
          </cell>
          <cell r="J1622">
            <v>91265.23</v>
          </cell>
          <cell r="K1622">
            <v>0</v>
          </cell>
          <cell r="L1622">
            <v>0</v>
          </cell>
        </row>
        <row r="1623">
          <cell r="A1623">
            <v>4</v>
          </cell>
          <cell r="B1623">
            <v>9</v>
          </cell>
          <cell r="C1623">
            <v>164</v>
          </cell>
          <cell r="D1623">
            <v>16</v>
          </cell>
          <cell r="E1623" t="str">
            <v xml:space="preserve">    </v>
          </cell>
          <cell r="F1623" t="str">
            <v xml:space="preserve">   </v>
          </cell>
          <cell r="G1623">
            <v>4916416</v>
          </cell>
          <cell r="H1623">
            <v>94941.41</v>
          </cell>
          <cell r="I1623">
            <v>0</v>
          </cell>
          <cell r="J1623">
            <v>94941.41</v>
          </cell>
          <cell r="K1623">
            <v>0</v>
          </cell>
          <cell r="L1623">
            <v>0</v>
          </cell>
        </row>
        <row r="1624">
          <cell r="A1624">
            <v>5</v>
          </cell>
          <cell r="B1624">
            <v>9</v>
          </cell>
          <cell r="C1624">
            <v>164</v>
          </cell>
          <cell r="D1624">
            <v>16</v>
          </cell>
          <cell r="E1624" t="str">
            <v xml:space="preserve">    </v>
          </cell>
          <cell r="F1624" t="str">
            <v xml:space="preserve">   </v>
          </cell>
          <cell r="G1624">
            <v>5916416</v>
          </cell>
          <cell r="H1624">
            <v>112340.16</v>
          </cell>
          <cell r="I1624">
            <v>0</v>
          </cell>
          <cell r="J1624">
            <v>112340.16</v>
          </cell>
          <cell r="K1624">
            <v>0</v>
          </cell>
          <cell r="L1624">
            <v>0</v>
          </cell>
        </row>
        <row r="1625">
          <cell r="A1625">
            <v>3</v>
          </cell>
          <cell r="B1625">
            <v>9</v>
          </cell>
          <cell r="C1625">
            <v>164</v>
          </cell>
          <cell r="D1625">
            <v>21</v>
          </cell>
          <cell r="E1625" t="str">
            <v xml:space="preserve">    </v>
          </cell>
          <cell r="F1625" t="str">
            <v xml:space="preserve">   </v>
          </cell>
          <cell r="G1625">
            <v>3916421</v>
          </cell>
          <cell r="H1625">
            <v>87242.15</v>
          </cell>
          <cell r="I1625">
            <v>87242.15</v>
          </cell>
          <cell r="J1625">
            <v>0</v>
          </cell>
          <cell r="K1625">
            <v>0</v>
          </cell>
          <cell r="L1625">
            <v>0</v>
          </cell>
        </row>
        <row r="1626">
          <cell r="A1626">
            <v>4</v>
          </cell>
          <cell r="B1626">
            <v>9</v>
          </cell>
          <cell r="C1626">
            <v>164</v>
          </cell>
          <cell r="D1626">
            <v>21</v>
          </cell>
          <cell r="E1626" t="str">
            <v xml:space="preserve">    </v>
          </cell>
          <cell r="F1626" t="str">
            <v xml:space="preserve">   </v>
          </cell>
          <cell r="G1626">
            <v>4916421</v>
          </cell>
          <cell r="H1626">
            <v>215290.33</v>
          </cell>
          <cell r="I1626">
            <v>215290.33</v>
          </cell>
          <cell r="J1626">
            <v>0</v>
          </cell>
          <cell r="K1626">
            <v>0</v>
          </cell>
          <cell r="L1626">
            <v>0</v>
          </cell>
        </row>
        <row r="1627">
          <cell r="A1627">
            <v>5</v>
          </cell>
          <cell r="B1627">
            <v>9</v>
          </cell>
          <cell r="C1627">
            <v>164</v>
          </cell>
          <cell r="D1627">
            <v>21</v>
          </cell>
          <cell r="E1627" t="str">
            <v xml:space="preserve">    </v>
          </cell>
          <cell r="F1627" t="str">
            <v xml:space="preserve">   </v>
          </cell>
          <cell r="G1627">
            <v>5916421</v>
          </cell>
          <cell r="H1627">
            <v>164524.94</v>
          </cell>
          <cell r="I1627">
            <v>164524.94</v>
          </cell>
          <cell r="J1627">
            <v>0</v>
          </cell>
          <cell r="K1627">
            <v>0</v>
          </cell>
          <cell r="L1627">
            <v>0</v>
          </cell>
        </row>
        <row r="1628">
          <cell r="A1628">
            <v>3</v>
          </cell>
          <cell r="B1628">
            <v>9</v>
          </cell>
          <cell r="C1628">
            <v>164</v>
          </cell>
          <cell r="D1628">
            <v>23</v>
          </cell>
          <cell r="E1628" t="str">
            <v xml:space="preserve">    </v>
          </cell>
          <cell r="F1628" t="str">
            <v xml:space="preserve">   </v>
          </cell>
          <cell r="G1628">
            <v>3916423</v>
          </cell>
          <cell r="H1628">
            <v>74712.94</v>
          </cell>
          <cell r="I1628">
            <v>0</v>
          </cell>
          <cell r="J1628">
            <v>0</v>
          </cell>
          <cell r="K1628">
            <v>74712.94</v>
          </cell>
          <cell r="L1628">
            <v>0</v>
          </cell>
        </row>
        <row r="1629">
          <cell r="A1629">
            <v>4</v>
          </cell>
          <cell r="B1629">
            <v>9</v>
          </cell>
          <cell r="C1629">
            <v>164</v>
          </cell>
          <cell r="D1629">
            <v>23</v>
          </cell>
          <cell r="E1629" t="str">
            <v xml:space="preserve">    </v>
          </cell>
          <cell r="F1629" t="str">
            <v xml:space="preserve">   </v>
          </cell>
          <cell r="G1629">
            <v>4916423</v>
          </cell>
          <cell r="H1629">
            <v>119694.93</v>
          </cell>
          <cell r="I1629">
            <v>0</v>
          </cell>
          <cell r="J1629">
            <v>0</v>
          </cell>
          <cell r="K1629">
            <v>119694.93</v>
          </cell>
          <cell r="L1629">
            <v>0</v>
          </cell>
        </row>
        <row r="1630">
          <cell r="A1630">
            <v>5</v>
          </cell>
          <cell r="B1630">
            <v>9</v>
          </cell>
          <cell r="C1630">
            <v>164</v>
          </cell>
          <cell r="D1630">
            <v>23</v>
          </cell>
          <cell r="E1630" t="str">
            <v xml:space="preserve">    </v>
          </cell>
          <cell r="F1630" t="str">
            <v xml:space="preserve">   </v>
          </cell>
          <cell r="G1630">
            <v>5916423</v>
          </cell>
          <cell r="H1630">
            <v>127432.19</v>
          </cell>
          <cell r="I1630">
            <v>0</v>
          </cell>
          <cell r="J1630">
            <v>0</v>
          </cell>
          <cell r="K1630">
            <v>127432.19</v>
          </cell>
          <cell r="L1630">
            <v>0</v>
          </cell>
        </row>
        <row r="1631">
          <cell r="A1631">
            <v>3</v>
          </cell>
          <cell r="B1631">
            <v>9</v>
          </cell>
          <cell r="C1631">
            <v>164</v>
          </cell>
          <cell r="D1631">
            <v>28</v>
          </cell>
          <cell r="E1631" t="str">
            <v xml:space="preserve">    </v>
          </cell>
          <cell r="F1631" t="str">
            <v xml:space="preserve">   </v>
          </cell>
          <cell r="G1631">
            <v>3916428</v>
          </cell>
          <cell r="H1631">
            <v>142743.47</v>
          </cell>
          <cell r="I1631">
            <v>0</v>
          </cell>
          <cell r="J1631">
            <v>142743.47</v>
          </cell>
          <cell r="K1631">
            <v>0</v>
          </cell>
          <cell r="L1631">
            <v>0</v>
          </cell>
        </row>
        <row r="1632">
          <cell r="A1632">
            <v>4</v>
          </cell>
          <cell r="B1632">
            <v>9</v>
          </cell>
          <cell r="C1632">
            <v>164</v>
          </cell>
          <cell r="D1632">
            <v>28</v>
          </cell>
          <cell r="E1632" t="str">
            <v xml:space="preserve">    </v>
          </cell>
          <cell r="F1632" t="str">
            <v xml:space="preserve">   </v>
          </cell>
          <cell r="G1632">
            <v>4916428</v>
          </cell>
          <cell r="H1632">
            <v>258302.81</v>
          </cell>
          <cell r="I1632">
            <v>0</v>
          </cell>
          <cell r="J1632">
            <v>258302.81</v>
          </cell>
          <cell r="K1632">
            <v>0</v>
          </cell>
          <cell r="L1632">
            <v>0</v>
          </cell>
        </row>
        <row r="1633">
          <cell r="A1633">
            <v>5</v>
          </cell>
          <cell r="B1633">
            <v>9</v>
          </cell>
          <cell r="C1633">
            <v>164</v>
          </cell>
          <cell r="D1633">
            <v>28</v>
          </cell>
          <cell r="E1633" t="str">
            <v xml:space="preserve">    </v>
          </cell>
          <cell r="F1633" t="str">
            <v xml:space="preserve">   </v>
          </cell>
          <cell r="G1633">
            <v>5916428</v>
          </cell>
          <cell r="H1633">
            <v>225952.58</v>
          </cell>
          <cell r="I1633">
            <v>0</v>
          </cell>
          <cell r="J1633">
            <v>225952.58</v>
          </cell>
          <cell r="K1633">
            <v>0</v>
          </cell>
          <cell r="L1633">
            <v>0</v>
          </cell>
        </row>
        <row r="1634">
          <cell r="A1634">
            <v>3</v>
          </cell>
          <cell r="B1634">
            <v>9</v>
          </cell>
          <cell r="C1634">
            <v>182</v>
          </cell>
          <cell r="D1634">
            <v>31</v>
          </cell>
          <cell r="E1634" t="str">
            <v xml:space="preserve">    </v>
          </cell>
          <cell r="F1634" t="str">
            <v xml:space="preserve">   </v>
          </cell>
          <cell r="G1634">
            <v>3918231</v>
          </cell>
          <cell r="H1634">
            <v>142137150</v>
          </cell>
          <cell r="I1634">
            <v>142137150</v>
          </cell>
          <cell r="J1634">
            <v>0</v>
          </cell>
          <cell r="K1634">
            <v>0</v>
          </cell>
          <cell r="L1634">
            <v>0</v>
          </cell>
        </row>
        <row r="1635">
          <cell r="A1635">
            <v>4</v>
          </cell>
          <cell r="B1635">
            <v>9</v>
          </cell>
          <cell r="C1635">
            <v>182</v>
          </cell>
          <cell r="D1635">
            <v>31</v>
          </cell>
          <cell r="E1635" t="str">
            <v xml:space="preserve">    </v>
          </cell>
          <cell r="F1635" t="str">
            <v xml:space="preserve">   </v>
          </cell>
          <cell r="G1635">
            <v>4918231</v>
          </cell>
          <cell r="H1635">
            <v>144358880.36000001</v>
          </cell>
          <cell r="I1635">
            <v>144358880.36000001</v>
          </cell>
          <cell r="J1635">
            <v>0</v>
          </cell>
          <cell r="K1635">
            <v>0</v>
          </cell>
          <cell r="L1635">
            <v>0</v>
          </cell>
        </row>
        <row r="1636">
          <cell r="A1636">
            <v>5</v>
          </cell>
          <cell r="B1636">
            <v>9</v>
          </cell>
          <cell r="C1636">
            <v>182</v>
          </cell>
          <cell r="D1636">
            <v>31</v>
          </cell>
          <cell r="E1636" t="str">
            <v xml:space="preserve">    </v>
          </cell>
          <cell r="F1636" t="str">
            <v xml:space="preserve">   </v>
          </cell>
          <cell r="G1636">
            <v>5918231</v>
          </cell>
          <cell r="H1636">
            <v>142483186</v>
          </cell>
          <cell r="I1636">
            <v>142483186</v>
          </cell>
          <cell r="J1636">
            <v>0</v>
          </cell>
          <cell r="K1636">
            <v>0</v>
          </cell>
          <cell r="L1636">
            <v>0</v>
          </cell>
        </row>
        <row r="1637">
          <cell r="A1637">
            <v>3</v>
          </cell>
          <cell r="B1637">
            <v>9</v>
          </cell>
          <cell r="C1637">
            <v>182</v>
          </cell>
          <cell r="D1637">
            <v>32</v>
          </cell>
          <cell r="E1637" t="str">
            <v xml:space="preserve">    </v>
          </cell>
          <cell r="F1637" t="str">
            <v xml:space="preserve">   </v>
          </cell>
          <cell r="G1637">
            <v>3918232</v>
          </cell>
          <cell r="H1637">
            <v>20230674</v>
          </cell>
          <cell r="I1637">
            <v>20230674</v>
          </cell>
          <cell r="J1637">
            <v>0</v>
          </cell>
          <cell r="K1637">
            <v>0</v>
          </cell>
          <cell r="L1637">
            <v>0</v>
          </cell>
        </row>
        <row r="1638">
          <cell r="A1638">
            <v>4</v>
          </cell>
          <cell r="B1638">
            <v>9</v>
          </cell>
          <cell r="C1638">
            <v>182</v>
          </cell>
          <cell r="D1638">
            <v>32</v>
          </cell>
          <cell r="E1638" t="str">
            <v xml:space="preserve">    </v>
          </cell>
          <cell r="F1638" t="str">
            <v xml:space="preserve">   </v>
          </cell>
          <cell r="G1638">
            <v>4918232</v>
          </cell>
          <cell r="H1638">
            <v>21415332.309999999</v>
          </cell>
          <cell r="I1638">
            <v>21415332.309999999</v>
          </cell>
          <cell r="J1638">
            <v>0</v>
          </cell>
          <cell r="K1638">
            <v>0</v>
          </cell>
          <cell r="L1638">
            <v>0</v>
          </cell>
        </row>
        <row r="1639">
          <cell r="A1639">
            <v>5</v>
          </cell>
          <cell r="B1639">
            <v>9</v>
          </cell>
          <cell r="C1639">
            <v>182</v>
          </cell>
          <cell r="D1639">
            <v>32</v>
          </cell>
          <cell r="E1639" t="str">
            <v xml:space="preserve">    </v>
          </cell>
          <cell r="F1639" t="str">
            <v xml:space="preserve">   </v>
          </cell>
          <cell r="G1639">
            <v>5918232</v>
          </cell>
          <cell r="H1639">
            <v>20545224.5</v>
          </cell>
          <cell r="I1639">
            <v>20545224.5</v>
          </cell>
          <cell r="J1639">
            <v>0</v>
          </cell>
          <cell r="K1639">
            <v>0</v>
          </cell>
          <cell r="L1639">
            <v>0</v>
          </cell>
        </row>
        <row r="1640">
          <cell r="A1640">
            <v>3</v>
          </cell>
          <cell r="B1640">
            <v>9</v>
          </cell>
          <cell r="C1640">
            <v>182</v>
          </cell>
          <cell r="D1640">
            <v>33</v>
          </cell>
          <cell r="E1640" t="str">
            <v xml:space="preserve">    </v>
          </cell>
          <cell r="F1640" t="str">
            <v xml:space="preserve">   </v>
          </cell>
          <cell r="G1640">
            <v>3918233</v>
          </cell>
          <cell r="H1640">
            <v>10485434</v>
          </cell>
          <cell r="I1640">
            <v>10485434</v>
          </cell>
          <cell r="J1640">
            <v>0</v>
          </cell>
          <cell r="K1640">
            <v>0</v>
          </cell>
          <cell r="L1640">
            <v>0</v>
          </cell>
        </row>
        <row r="1641">
          <cell r="A1641">
            <v>4</v>
          </cell>
          <cell r="B1641">
            <v>9</v>
          </cell>
          <cell r="C1641">
            <v>182</v>
          </cell>
          <cell r="D1641">
            <v>33</v>
          </cell>
          <cell r="E1641" t="str">
            <v xml:space="preserve">    </v>
          </cell>
          <cell r="F1641" t="str">
            <v xml:space="preserve">   </v>
          </cell>
          <cell r="G1641">
            <v>4918233</v>
          </cell>
          <cell r="H1641">
            <v>10485433.92</v>
          </cell>
          <cell r="I1641">
            <v>10485433.92</v>
          </cell>
          <cell r="J1641">
            <v>0</v>
          </cell>
          <cell r="K1641">
            <v>0</v>
          </cell>
          <cell r="L1641">
            <v>0</v>
          </cell>
        </row>
        <row r="1642">
          <cell r="A1642">
            <v>5</v>
          </cell>
          <cell r="B1642">
            <v>9</v>
          </cell>
          <cell r="C1642">
            <v>182</v>
          </cell>
          <cell r="D1642">
            <v>33</v>
          </cell>
          <cell r="E1642" t="str">
            <v xml:space="preserve">    </v>
          </cell>
          <cell r="F1642" t="str">
            <v xml:space="preserve">   </v>
          </cell>
          <cell r="G1642">
            <v>5918233</v>
          </cell>
          <cell r="H1642">
            <v>10485434</v>
          </cell>
          <cell r="I1642">
            <v>10485434</v>
          </cell>
          <cell r="J1642">
            <v>0</v>
          </cell>
          <cell r="K1642">
            <v>0</v>
          </cell>
          <cell r="L1642">
            <v>0</v>
          </cell>
        </row>
        <row r="1643">
          <cell r="A1643">
            <v>3</v>
          </cell>
          <cell r="B1643">
            <v>9</v>
          </cell>
          <cell r="C1643">
            <v>186</v>
          </cell>
          <cell r="D1643">
            <v>10</v>
          </cell>
          <cell r="E1643" t="str">
            <v xml:space="preserve">    </v>
          </cell>
          <cell r="F1643" t="str">
            <v xml:space="preserve">   </v>
          </cell>
          <cell r="G1643">
            <v>3918610</v>
          </cell>
          <cell r="H1643">
            <v>730020</v>
          </cell>
          <cell r="I1643">
            <v>0</v>
          </cell>
          <cell r="J1643">
            <v>730020</v>
          </cell>
          <cell r="K1643">
            <v>0</v>
          </cell>
          <cell r="L1643">
            <v>0</v>
          </cell>
        </row>
        <row r="1644">
          <cell r="A1644">
            <v>4</v>
          </cell>
          <cell r="B1644">
            <v>9</v>
          </cell>
          <cell r="C1644">
            <v>186</v>
          </cell>
          <cell r="D1644">
            <v>10</v>
          </cell>
          <cell r="E1644" t="str">
            <v xml:space="preserve">    </v>
          </cell>
          <cell r="F1644" t="str">
            <v xml:space="preserve">   </v>
          </cell>
          <cell r="G1644">
            <v>4918610</v>
          </cell>
          <cell r="H1644">
            <v>745889.96</v>
          </cell>
          <cell r="I1644">
            <v>0</v>
          </cell>
          <cell r="J1644">
            <v>745889.96</v>
          </cell>
          <cell r="K1644">
            <v>0</v>
          </cell>
          <cell r="L1644">
            <v>0</v>
          </cell>
        </row>
        <row r="1645">
          <cell r="A1645">
            <v>5</v>
          </cell>
          <cell r="B1645">
            <v>9</v>
          </cell>
          <cell r="C1645">
            <v>186</v>
          </cell>
          <cell r="D1645">
            <v>10</v>
          </cell>
          <cell r="E1645" t="str">
            <v xml:space="preserve">    </v>
          </cell>
          <cell r="F1645" t="str">
            <v xml:space="preserve">   </v>
          </cell>
          <cell r="G1645">
            <v>5918610</v>
          </cell>
          <cell r="H1645">
            <v>731342.5</v>
          </cell>
          <cell r="I1645">
            <v>0</v>
          </cell>
          <cell r="J1645">
            <v>731342.5</v>
          </cell>
          <cell r="K1645">
            <v>0</v>
          </cell>
          <cell r="L1645">
            <v>0</v>
          </cell>
        </row>
        <row r="1646">
          <cell r="A1646">
            <v>3</v>
          </cell>
          <cell r="B1646">
            <v>9</v>
          </cell>
          <cell r="C1646">
            <v>186</v>
          </cell>
          <cell r="D1646">
            <v>11</v>
          </cell>
          <cell r="E1646" t="str">
            <v xml:space="preserve">    </v>
          </cell>
          <cell r="F1646" t="str">
            <v xml:space="preserve">   </v>
          </cell>
          <cell r="G1646">
            <v>3918611</v>
          </cell>
          <cell r="H1646">
            <v>1548084</v>
          </cell>
          <cell r="I1646">
            <v>0</v>
          </cell>
          <cell r="J1646">
            <v>0</v>
          </cell>
          <cell r="K1646">
            <v>1548084</v>
          </cell>
          <cell r="L1646">
            <v>0</v>
          </cell>
        </row>
        <row r="1647">
          <cell r="A1647">
            <v>4</v>
          </cell>
          <cell r="B1647">
            <v>9</v>
          </cell>
          <cell r="C1647">
            <v>186</v>
          </cell>
          <cell r="D1647">
            <v>11</v>
          </cell>
          <cell r="E1647" t="str">
            <v xml:space="preserve">    </v>
          </cell>
          <cell r="F1647" t="str">
            <v xml:space="preserve">   </v>
          </cell>
          <cell r="G1647">
            <v>4918611</v>
          </cell>
          <cell r="H1647">
            <v>1581737.96</v>
          </cell>
          <cell r="I1647">
            <v>0</v>
          </cell>
          <cell r="J1647">
            <v>0</v>
          </cell>
          <cell r="K1647">
            <v>1581737.96</v>
          </cell>
          <cell r="L1647">
            <v>0</v>
          </cell>
        </row>
        <row r="1648">
          <cell r="A1648">
            <v>5</v>
          </cell>
          <cell r="B1648">
            <v>9</v>
          </cell>
          <cell r="C1648">
            <v>186</v>
          </cell>
          <cell r="D1648">
            <v>11</v>
          </cell>
          <cell r="E1648" t="str">
            <v xml:space="preserve">    </v>
          </cell>
          <cell r="F1648" t="str">
            <v xml:space="preserve">   </v>
          </cell>
          <cell r="G1648">
            <v>5918611</v>
          </cell>
          <cell r="H1648">
            <v>1550888.5</v>
          </cell>
          <cell r="I1648">
            <v>0</v>
          </cell>
          <cell r="J1648">
            <v>0</v>
          </cell>
          <cell r="K1648">
            <v>1550888.5</v>
          </cell>
          <cell r="L1648">
            <v>0</v>
          </cell>
        </row>
        <row r="1649">
          <cell r="A1649">
            <v>3</v>
          </cell>
          <cell r="B1649">
            <v>9</v>
          </cell>
          <cell r="C1649">
            <v>186</v>
          </cell>
          <cell r="D1649">
            <v>28</v>
          </cell>
          <cell r="E1649" t="str">
            <v xml:space="preserve">    </v>
          </cell>
          <cell r="F1649" t="str">
            <v xml:space="preserve">   </v>
          </cell>
          <cell r="G1649">
            <v>3918628</v>
          </cell>
          <cell r="H1649">
            <v>41400</v>
          </cell>
          <cell r="I1649">
            <v>0</v>
          </cell>
          <cell r="J1649">
            <v>41400</v>
          </cell>
          <cell r="K1649">
            <v>0</v>
          </cell>
          <cell r="L1649">
            <v>0</v>
          </cell>
        </row>
        <row r="1650">
          <cell r="A1650">
            <v>4</v>
          </cell>
          <cell r="B1650">
            <v>9</v>
          </cell>
          <cell r="C1650">
            <v>186</v>
          </cell>
          <cell r="D1650">
            <v>28</v>
          </cell>
          <cell r="E1650" t="str">
            <v xml:space="preserve">    </v>
          </cell>
          <cell r="F1650" t="str">
            <v xml:space="preserve">   </v>
          </cell>
          <cell r="G1650">
            <v>4918628</v>
          </cell>
          <cell r="H1650">
            <v>43124.91</v>
          </cell>
          <cell r="I1650">
            <v>0</v>
          </cell>
          <cell r="J1650">
            <v>43124.91</v>
          </cell>
          <cell r="K1650">
            <v>0</v>
          </cell>
          <cell r="L1650">
            <v>0</v>
          </cell>
        </row>
        <row r="1651">
          <cell r="A1651">
            <v>5</v>
          </cell>
          <cell r="B1651">
            <v>9</v>
          </cell>
          <cell r="C1651">
            <v>186</v>
          </cell>
          <cell r="D1651">
            <v>28</v>
          </cell>
          <cell r="E1651" t="str">
            <v xml:space="preserve">    </v>
          </cell>
          <cell r="F1651" t="str">
            <v xml:space="preserve">   </v>
          </cell>
          <cell r="G1651">
            <v>5918628</v>
          </cell>
          <cell r="H1651">
            <v>41400</v>
          </cell>
          <cell r="I1651">
            <v>0</v>
          </cell>
          <cell r="J1651">
            <v>41400</v>
          </cell>
          <cell r="K1651">
            <v>0</v>
          </cell>
          <cell r="L1651">
            <v>0</v>
          </cell>
        </row>
        <row r="1652">
          <cell r="A1652">
            <v>3</v>
          </cell>
          <cell r="B1652">
            <v>9</v>
          </cell>
          <cell r="C1652">
            <v>186</v>
          </cell>
          <cell r="D1652">
            <v>45</v>
          </cell>
          <cell r="E1652" t="str">
            <v xml:space="preserve">    </v>
          </cell>
          <cell r="F1652" t="str">
            <v xml:space="preserve">   </v>
          </cell>
          <cell r="G1652">
            <v>3918645</v>
          </cell>
          <cell r="H1652">
            <v>0</v>
          </cell>
          <cell r="I1652">
            <v>0</v>
          </cell>
          <cell r="J1652">
            <v>0</v>
          </cell>
          <cell r="K1652">
            <v>0</v>
          </cell>
          <cell r="L1652">
            <v>0</v>
          </cell>
        </row>
        <row r="1653">
          <cell r="A1653">
            <v>4</v>
          </cell>
          <cell r="B1653">
            <v>9</v>
          </cell>
          <cell r="C1653">
            <v>186</v>
          </cell>
          <cell r="D1653">
            <v>45</v>
          </cell>
          <cell r="E1653" t="str">
            <v xml:space="preserve">    </v>
          </cell>
          <cell r="F1653" t="str">
            <v xml:space="preserve">   </v>
          </cell>
          <cell r="G1653">
            <v>4918645</v>
          </cell>
          <cell r="H1653">
            <v>0</v>
          </cell>
          <cell r="I1653">
            <v>0</v>
          </cell>
          <cell r="J1653">
            <v>0</v>
          </cell>
          <cell r="K1653">
            <v>0</v>
          </cell>
          <cell r="L1653">
            <v>0</v>
          </cell>
        </row>
        <row r="1654">
          <cell r="A1654">
            <v>5</v>
          </cell>
          <cell r="B1654">
            <v>9</v>
          </cell>
          <cell r="C1654">
            <v>186</v>
          </cell>
          <cell r="D1654">
            <v>45</v>
          </cell>
          <cell r="E1654" t="str">
            <v xml:space="preserve">    </v>
          </cell>
          <cell r="F1654" t="str">
            <v xml:space="preserve">   </v>
          </cell>
          <cell r="G1654">
            <v>5918645</v>
          </cell>
          <cell r="H1654">
            <v>0</v>
          </cell>
          <cell r="I1654">
            <v>0</v>
          </cell>
          <cell r="J1654">
            <v>0</v>
          </cell>
          <cell r="K1654">
            <v>0</v>
          </cell>
          <cell r="L1654">
            <v>0</v>
          </cell>
        </row>
        <row r="1655">
          <cell r="A1655">
            <v>3</v>
          </cell>
          <cell r="B1655">
            <v>9</v>
          </cell>
          <cell r="C1655">
            <v>186</v>
          </cell>
          <cell r="D1655">
            <v>50</v>
          </cell>
          <cell r="E1655" t="str">
            <v xml:space="preserve">    </v>
          </cell>
          <cell r="F1655" t="str">
            <v xml:space="preserve">   </v>
          </cell>
          <cell r="G1655">
            <v>3918650</v>
          </cell>
          <cell r="H1655">
            <v>670535.43999999994</v>
          </cell>
          <cell r="I1655">
            <v>0</v>
          </cell>
          <cell r="J1655">
            <v>471313.39</v>
          </cell>
          <cell r="K1655">
            <v>199222.05</v>
          </cell>
          <cell r="L1655">
            <v>0</v>
          </cell>
        </row>
        <row r="1656">
          <cell r="A1656">
            <v>4</v>
          </cell>
          <cell r="B1656">
            <v>9</v>
          </cell>
          <cell r="C1656">
            <v>186</v>
          </cell>
          <cell r="D1656">
            <v>50</v>
          </cell>
          <cell r="E1656" t="str">
            <v xml:space="preserve">    </v>
          </cell>
          <cell r="F1656" t="str">
            <v xml:space="preserve">   </v>
          </cell>
          <cell r="G1656">
            <v>4918650</v>
          </cell>
          <cell r="H1656">
            <v>670534.52</v>
          </cell>
          <cell r="I1656">
            <v>0</v>
          </cell>
          <cell r="J1656">
            <v>471312.83</v>
          </cell>
          <cell r="K1656">
            <v>199221.69</v>
          </cell>
          <cell r="L1656">
            <v>0</v>
          </cell>
        </row>
        <row r="1657">
          <cell r="A1657">
            <v>5</v>
          </cell>
          <cell r="B1657">
            <v>9</v>
          </cell>
          <cell r="C1657">
            <v>186</v>
          </cell>
          <cell r="D1657">
            <v>50</v>
          </cell>
          <cell r="E1657" t="str">
            <v xml:space="preserve">    </v>
          </cell>
          <cell r="F1657" t="str">
            <v xml:space="preserve">   </v>
          </cell>
          <cell r="G1657">
            <v>5918650</v>
          </cell>
          <cell r="H1657">
            <v>670535.36</v>
          </cell>
          <cell r="I1657">
            <v>0</v>
          </cell>
          <cell r="J1657">
            <v>471313.34</v>
          </cell>
          <cell r="K1657">
            <v>199222.02</v>
          </cell>
          <cell r="L1657">
            <v>0</v>
          </cell>
        </row>
        <row r="1658">
          <cell r="A1658">
            <v>3</v>
          </cell>
          <cell r="B1658">
            <v>9</v>
          </cell>
          <cell r="C1658">
            <v>186</v>
          </cell>
          <cell r="D1658">
            <v>51</v>
          </cell>
          <cell r="E1658" t="str">
            <v xml:space="preserve">    </v>
          </cell>
          <cell r="F1658" t="str">
            <v xml:space="preserve">   </v>
          </cell>
          <cell r="G1658">
            <v>3918651</v>
          </cell>
          <cell r="H1658">
            <v>-279678.3</v>
          </cell>
          <cell r="I1658">
            <v>0</v>
          </cell>
          <cell r="J1658">
            <v>0</v>
          </cell>
          <cell r="K1658">
            <v>-279678.3</v>
          </cell>
          <cell r="L1658">
            <v>0</v>
          </cell>
        </row>
        <row r="1659">
          <cell r="A1659">
            <v>4</v>
          </cell>
          <cell r="B1659">
            <v>9</v>
          </cell>
          <cell r="C1659">
            <v>186</v>
          </cell>
          <cell r="D1659">
            <v>51</v>
          </cell>
          <cell r="E1659" t="str">
            <v xml:space="preserve">    </v>
          </cell>
          <cell r="F1659" t="str">
            <v xml:space="preserve">   </v>
          </cell>
          <cell r="G1659">
            <v>4918651</v>
          </cell>
          <cell r="H1659">
            <v>-279678.11</v>
          </cell>
          <cell r="I1659">
            <v>0</v>
          </cell>
          <cell r="J1659">
            <v>0</v>
          </cell>
          <cell r="K1659">
            <v>-279678.11</v>
          </cell>
          <cell r="L1659">
            <v>0</v>
          </cell>
        </row>
        <row r="1660">
          <cell r="A1660">
            <v>5</v>
          </cell>
          <cell r="B1660">
            <v>9</v>
          </cell>
          <cell r="C1660">
            <v>186</v>
          </cell>
          <cell r="D1660">
            <v>51</v>
          </cell>
          <cell r="E1660" t="str">
            <v xml:space="preserve">    </v>
          </cell>
          <cell r="F1660" t="str">
            <v xml:space="preserve">   </v>
          </cell>
          <cell r="G1660">
            <v>5918651</v>
          </cell>
          <cell r="H1660">
            <v>-279678.28000000003</v>
          </cell>
          <cell r="I1660">
            <v>0</v>
          </cell>
          <cell r="J1660">
            <v>0</v>
          </cell>
          <cell r="K1660">
            <v>-279678.28000000003</v>
          </cell>
          <cell r="L1660">
            <v>0</v>
          </cell>
        </row>
        <row r="1661">
          <cell r="A1661">
            <v>3</v>
          </cell>
          <cell r="B1661">
            <v>9</v>
          </cell>
          <cell r="C1661">
            <v>186</v>
          </cell>
          <cell r="D1661">
            <v>55</v>
          </cell>
          <cell r="E1661" t="str">
            <v xml:space="preserve">    </v>
          </cell>
          <cell r="F1661" t="str">
            <v xml:space="preserve">   </v>
          </cell>
          <cell r="G1661">
            <v>3918655</v>
          </cell>
          <cell r="H1661">
            <v>-37236.44</v>
          </cell>
          <cell r="I1661">
            <v>0</v>
          </cell>
          <cell r="J1661">
            <v>-23500.41</v>
          </cell>
          <cell r="K1661">
            <v>-13736.03</v>
          </cell>
          <cell r="L1661">
            <v>0</v>
          </cell>
        </row>
        <row r="1662">
          <cell r="A1662">
            <v>4</v>
          </cell>
          <cell r="B1662">
            <v>9</v>
          </cell>
          <cell r="C1662">
            <v>186</v>
          </cell>
          <cell r="D1662">
            <v>55</v>
          </cell>
          <cell r="E1662" t="str">
            <v xml:space="preserve">    </v>
          </cell>
          <cell r="F1662" t="str">
            <v xml:space="preserve">   </v>
          </cell>
          <cell r="G1662">
            <v>4918655</v>
          </cell>
          <cell r="H1662">
            <v>-37235.57</v>
          </cell>
          <cell r="I1662">
            <v>0</v>
          </cell>
          <cell r="J1662">
            <v>-23500.04</v>
          </cell>
          <cell r="K1662">
            <v>-13735.53</v>
          </cell>
          <cell r="L1662">
            <v>0</v>
          </cell>
        </row>
        <row r="1663">
          <cell r="A1663">
            <v>5</v>
          </cell>
          <cell r="B1663">
            <v>9</v>
          </cell>
          <cell r="C1663">
            <v>186</v>
          </cell>
          <cell r="D1663">
            <v>55</v>
          </cell>
          <cell r="E1663" t="str">
            <v xml:space="preserve">    </v>
          </cell>
          <cell r="F1663" t="str">
            <v xml:space="preserve">   </v>
          </cell>
          <cell r="G1663">
            <v>5918655</v>
          </cell>
          <cell r="H1663">
            <v>-37236.379999999997</v>
          </cell>
          <cell r="I1663">
            <v>0</v>
          </cell>
          <cell r="J1663">
            <v>-23500.38</v>
          </cell>
          <cell r="K1663">
            <v>-13736</v>
          </cell>
          <cell r="L1663">
            <v>0</v>
          </cell>
        </row>
        <row r="1664">
          <cell r="A1664">
            <v>3</v>
          </cell>
          <cell r="B1664">
            <v>9</v>
          </cell>
          <cell r="C1664">
            <v>186</v>
          </cell>
          <cell r="D1664">
            <v>57</v>
          </cell>
          <cell r="E1664" t="str">
            <v xml:space="preserve">    </v>
          </cell>
          <cell r="F1664" t="str">
            <v xml:space="preserve">   </v>
          </cell>
          <cell r="G1664">
            <v>3918657</v>
          </cell>
          <cell r="H1664">
            <v>37236.44</v>
          </cell>
          <cell r="I1664">
            <v>0</v>
          </cell>
          <cell r="J1664">
            <v>23500.41</v>
          </cell>
          <cell r="K1664">
            <v>13736.03</v>
          </cell>
          <cell r="L1664">
            <v>0</v>
          </cell>
        </row>
        <row r="1665">
          <cell r="A1665">
            <v>4</v>
          </cell>
          <cell r="B1665">
            <v>9</v>
          </cell>
          <cell r="C1665">
            <v>186</v>
          </cell>
          <cell r="D1665">
            <v>57</v>
          </cell>
          <cell r="E1665" t="str">
            <v xml:space="preserve">    </v>
          </cell>
          <cell r="F1665" t="str">
            <v xml:space="preserve">   </v>
          </cell>
          <cell r="G1665">
            <v>4918657</v>
          </cell>
          <cell r="H1665">
            <v>37235.57</v>
          </cell>
          <cell r="I1665">
            <v>0</v>
          </cell>
          <cell r="J1665">
            <v>23500.04</v>
          </cell>
          <cell r="K1665">
            <v>13735.53</v>
          </cell>
          <cell r="L1665">
            <v>0</v>
          </cell>
        </row>
        <row r="1666">
          <cell r="A1666">
            <v>5</v>
          </cell>
          <cell r="B1666">
            <v>9</v>
          </cell>
          <cell r="C1666">
            <v>186</v>
          </cell>
          <cell r="D1666">
            <v>57</v>
          </cell>
          <cell r="E1666" t="str">
            <v xml:space="preserve">    </v>
          </cell>
          <cell r="F1666" t="str">
            <v xml:space="preserve">   </v>
          </cell>
          <cell r="G1666">
            <v>5918657</v>
          </cell>
          <cell r="H1666">
            <v>37236.379999999997</v>
          </cell>
          <cell r="I1666">
            <v>0</v>
          </cell>
          <cell r="J1666">
            <v>23500.38</v>
          </cell>
          <cell r="K1666">
            <v>13736</v>
          </cell>
          <cell r="L1666">
            <v>0</v>
          </cell>
        </row>
        <row r="1667">
          <cell r="A1667">
            <v>3</v>
          </cell>
          <cell r="B1667">
            <v>9</v>
          </cell>
          <cell r="C1667">
            <v>186</v>
          </cell>
          <cell r="D1667">
            <v>59</v>
          </cell>
          <cell r="E1667" t="str">
            <v xml:space="preserve">    </v>
          </cell>
          <cell r="F1667" t="str">
            <v xml:space="preserve">   </v>
          </cell>
          <cell r="G1667">
            <v>3918659</v>
          </cell>
          <cell r="H1667">
            <v>-390857.14</v>
          </cell>
          <cell r="I1667">
            <v>0</v>
          </cell>
          <cell r="J1667">
            <v>-471313.39</v>
          </cell>
          <cell r="K1667">
            <v>80456.25</v>
          </cell>
          <cell r="L1667">
            <v>0</v>
          </cell>
        </row>
        <row r="1668">
          <cell r="A1668">
            <v>4</v>
          </cell>
          <cell r="B1668">
            <v>9</v>
          </cell>
          <cell r="C1668">
            <v>186</v>
          </cell>
          <cell r="D1668">
            <v>59</v>
          </cell>
          <cell r="E1668" t="str">
            <v xml:space="preserve">    </v>
          </cell>
          <cell r="F1668" t="str">
            <v xml:space="preserve">   </v>
          </cell>
          <cell r="G1668">
            <v>4918659</v>
          </cell>
          <cell r="H1668">
            <v>-390856.15</v>
          </cell>
          <cell r="I1668">
            <v>0</v>
          </cell>
          <cell r="J1668">
            <v>-471312.83</v>
          </cell>
          <cell r="K1668">
            <v>80455.63</v>
          </cell>
          <cell r="L1668">
            <v>0</v>
          </cell>
        </row>
        <row r="1669">
          <cell r="A1669">
            <v>5</v>
          </cell>
          <cell r="B1669">
            <v>9</v>
          </cell>
          <cell r="C1669">
            <v>186</v>
          </cell>
          <cell r="D1669">
            <v>59</v>
          </cell>
          <cell r="E1669" t="str">
            <v xml:space="preserve">    </v>
          </cell>
          <cell r="F1669" t="str">
            <v xml:space="preserve">   </v>
          </cell>
          <cell r="G1669">
            <v>5918659</v>
          </cell>
          <cell r="H1669">
            <v>-390857.04</v>
          </cell>
          <cell r="I1669">
            <v>0</v>
          </cell>
          <cell r="J1669">
            <v>-471313.34</v>
          </cell>
          <cell r="K1669">
            <v>80456.210000000006</v>
          </cell>
          <cell r="L1669">
            <v>0</v>
          </cell>
        </row>
        <row r="1670">
          <cell r="A1670">
            <v>3</v>
          </cell>
          <cell r="B1670">
            <v>9</v>
          </cell>
          <cell r="C1670">
            <v>186</v>
          </cell>
          <cell r="D1670">
            <v>71</v>
          </cell>
          <cell r="E1670" t="str">
            <v xml:space="preserve">    </v>
          </cell>
          <cell r="F1670" t="str">
            <v xml:space="preserve">   </v>
          </cell>
          <cell r="G1670">
            <v>3918671</v>
          </cell>
          <cell r="H1670">
            <v>180181.81</v>
          </cell>
          <cell r="I1670">
            <v>0</v>
          </cell>
          <cell r="J1670">
            <v>180181.81</v>
          </cell>
          <cell r="K1670">
            <v>0</v>
          </cell>
          <cell r="L1670">
            <v>0</v>
          </cell>
        </row>
        <row r="1671">
          <cell r="A1671">
            <v>4</v>
          </cell>
          <cell r="B1671">
            <v>9</v>
          </cell>
          <cell r="C1671">
            <v>186</v>
          </cell>
          <cell r="D1671">
            <v>71</v>
          </cell>
          <cell r="E1671" t="str">
            <v xml:space="preserve">    </v>
          </cell>
          <cell r="F1671" t="str">
            <v xml:space="preserve">   </v>
          </cell>
          <cell r="G1671">
            <v>4918671</v>
          </cell>
          <cell r="H1671">
            <v>180181.79</v>
          </cell>
          <cell r="I1671">
            <v>0</v>
          </cell>
          <cell r="J1671">
            <v>180181.79</v>
          </cell>
          <cell r="K1671">
            <v>0</v>
          </cell>
          <cell r="L1671">
            <v>0</v>
          </cell>
        </row>
        <row r="1672">
          <cell r="A1672">
            <v>5</v>
          </cell>
          <cell r="B1672">
            <v>9</v>
          </cell>
          <cell r="C1672">
            <v>186</v>
          </cell>
          <cell r="D1672">
            <v>71</v>
          </cell>
          <cell r="E1672" t="str">
            <v xml:space="preserve">    </v>
          </cell>
          <cell r="F1672" t="str">
            <v xml:space="preserve">   </v>
          </cell>
          <cell r="G1672">
            <v>5918671</v>
          </cell>
          <cell r="H1672">
            <v>180181.8</v>
          </cell>
          <cell r="I1672">
            <v>0</v>
          </cell>
          <cell r="J1672">
            <v>180181.8</v>
          </cell>
          <cell r="K1672">
            <v>0</v>
          </cell>
          <cell r="L1672">
            <v>0</v>
          </cell>
        </row>
        <row r="1673">
          <cell r="A1673">
            <v>3</v>
          </cell>
          <cell r="B1673">
            <v>9</v>
          </cell>
          <cell r="C1673">
            <v>186</v>
          </cell>
          <cell r="D1673">
            <v>72</v>
          </cell>
          <cell r="E1673" t="str">
            <v xml:space="preserve">    </v>
          </cell>
          <cell r="F1673" t="str">
            <v xml:space="preserve">   </v>
          </cell>
          <cell r="G1673">
            <v>3918672</v>
          </cell>
          <cell r="H1673">
            <v>25195.27</v>
          </cell>
          <cell r="I1673">
            <v>0</v>
          </cell>
          <cell r="J1673">
            <v>25195.27</v>
          </cell>
          <cell r="K1673">
            <v>0</v>
          </cell>
          <cell r="L1673">
            <v>0</v>
          </cell>
        </row>
        <row r="1674">
          <cell r="A1674">
            <v>4</v>
          </cell>
          <cell r="B1674">
            <v>9</v>
          </cell>
          <cell r="C1674">
            <v>186</v>
          </cell>
          <cell r="D1674">
            <v>72</v>
          </cell>
          <cell r="E1674" t="str">
            <v xml:space="preserve">    </v>
          </cell>
          <cell r="F1674" t="str">
            <v xml:space="preserve">   </v>
          </cell>
          <cell r="G1674">
            <v>4918672</v>
          </cell>
          <cell r="H1674">
            <v>25195.200000000001</v>
          </cell>
          <cell r="I1674">
            <v>0</v>
          </cell>
          <cell r="J1674">
            <v>25195.200000000001</v>
          </cell>
          <cell r="K1674">
            <v>0</v>
          </cell>
          <cell r="L1674">
            <v>0</v>
          </cell>
        </row>
        <row r="1675">
          <cell r="A1675">
            <v>5</v>
          </cell>
          <cell r="B1675">
            <v>9</v>
          </cell>
          <cell r="C1675">
            <v>186</v>
          </cell>
          <cell r="D1675">
            <v>72</v>
          </cell>
          <cell r="E1675" t="str">
            <v xml:space="preserve">    </v>
          </cell>
          <cell r="F1675" t="str">
            <v xml:space="preserve">   </v>
          </cell>
          <cell r="G1675">
            <v>5918672</v>
          </cell>
          <cell r="H1675">
            <v>25195.26</v>
          </cell>
          <cell r="I1675">
            <v>0</v>
          </cell>
          <cell r="J1675">
            <v>25195.26</v>
          </cell>
          <cell r="K1675">
            <v>0</v>
          </cell>
          <cell r="L1675">
            <v>0</v>
          </cell>
        </row>
        <row r="1676">
          <cell r="A1676">
            <v>3</v>
          </cell>
          <cell r="B1676">
            <v>9</v>
          </cell>
          <cell r="C1676">
            <v>186</v>
          </cell>
          <cell r="D1676">
            <v>75</v>
          </cell>
          <cell r="E1676" t="str">
            <v xml:space="preserve">    </v>
          </cell>
          <cell r="F1676" t="str">
            <v xml:space="preserve">   </v>
          </cell>
          <cell r="G1676">
            <v>3918675</v>
          </cell>
          <cell r="H1676">
            <v>-1212342.8700000001</v>
          </cell>
          <cell r="I1676">
            <v>0</v>
          </cell>
          <cell r="J1676">
            <v>-629716.4</v>
          </cell>
          <cell r="K1676">
            <v>-582626.47</v>
          </cell>
          <cell r="L1676">
            <v>0</v>
          </cell>
        </row>
        <row r="1677">
          <cell r="A1677">
            <v>4</v>
          </cell>
          <cell r="B1677">
            <v>9</v>
          </cell>
          <cell r="C1677">
            <v>186</v>
          </cell>
          <cell r="D1677">
            <v>75</v>
          </cell>
          <cell r="E1677" t="str">
            <v xml:space="preserve">    </v>
          </cell>
          <cell r="F1677" t="str">
            <v xml:space="preserve">   </v>
          </cell>
          <cell r="G1677">
            <v>4918675</v>
          </cell>
          <cell r="H1677">
            <v>-1068056.43</v>
          </cell>
          <cell r="I1677">
            <v>0</v>
          </cell>
          <cell r="J1677">
            <v>-553418.94999999995</v>
          </cell>
          <cell r="K1677">
            <v>-514637.48</v>
          </cell>
          <cell r="L1677">
            <v>0</v>
          </cell>
        </row>
        <row r="1678">
          <cell r="A1678">
            <v>5</v>
          </cell>
          <cell r="B1678">
            <v>9</v>
          </cell>
          <cell r="C1678">
            <v>186</v>
          </cell>
          <cell r="D1678">
            <v>75</v>
          </cell>
          <cell r="E1678" t="str">
            <v xml:space="preserve">    </v>
          </cell>
          <cell r="F1678" t="str">
            <v xml:space="preserve">   </v>
          </cell>
          <cell r="G1678">
            <v>5918675</v>
          </cell>
          <cell r="H1678">
            <v>-1200319.03</v>
          </cell>
          <cell r="I1678">
            <v>0</v>
          </cell>
          <cell r="J1678">
            <v>-623358.31000000006</v>
          </cell>
          <cell r="K1678">
            <v>-576960.72</v>
          </cell>
          <cell r="L1678">
            <v>0</v>
          </cell>
        </row>
        <row r="1679">
          <cell r="A1679">
            <v>3</v>
          </cell>
          <cell r="B1679">
            <v>9</v>
          </cell>
          <cell r="C1679">
            <v>186</v>
          </cell>
          <cell r="D1679">
            <v>76</v>
          </cell>
          <cell r="E1679" t="str">
            <v xml:space="preserve">    </v>
          </cell>
          <cell r="F1679" t="str">
            <v xml:space="preserve">   </v>
          </cell>
          <cell r="G1679">
            <v>3918676</v>
          </cell>
          <cell r="H1679">
            <v>62817510.560000002</v>
          </cell>
          <cell r="I1679">
            <v>0</v>
          </cell>
          <cell r="J1679">
            <v>44458249.310000002</v>
          </cell>
          <cell r="K1679">
            <v>18359261.25</v>
          </cell>
          <cell r="L1679">
            <v>0</v>
          </cell>
        </row>
        <row r="1680">
          <cell r="A1680">
            <v>4</v>
          </cell>
          <cell r="B1680">
            <v>9</v>
          </cell>
          <cell r="C1680">
            <v>186</v>
          </cell>
          <cell r="D1680">
            <v>76</v>
          </cell>
          <cell r="E1680" t="str">
            <v xml:space="preserve">    </v>
          </cell>
          <cell r="F1680" t="str">
            <v xml:space="preserve">   </v>
          </cell>
          <cell r="G1680">
            <v>4918676</v>
          </cell>
          <cell r="H1680">
            <v>62817508.469999999</v>
          </cell>
          <cell r="I1680">
            <v>0</v>
          </cell>
          <cell r="J1680">
            <v>44458248.270000003</v>
          </cell>
          <cell r="K1680">
            <v>18359260.199999999</v>
          </cell>
          <cell r="L1680">
            <v>0</v>
          </cell>
        </row>
        <row r="1681">
          <cell r="A1681">
            <v>5</v>
          </cell>
          <cell r="B1681">
            <v>9</v>
          </cell>
          <cell r="C1681">
            <v>186</v>
          </cell>
          <cell r="D1681">
            <v>76</v>
          </cell>
          <cell r="E1681" t="str">
            <v xml:space="preserve">    </v>
          </cell>
          <cell r="F1681" t="str">
            <v xml:space="preserve">   </v>
          </cell>
          <cell r="G1681">
            <v>5918676</v>
          </cell>
          <cell r="H1681">
            <v>62817510.399999999</v>
          </cell>
          <cell r="I1681">
            <v>0</v>
          </cell>
          <cell r="J1681">
            <v>44458249.200000003</v>
          </cell>
          <cell r="K1681">
            <v>18359261.199999999</v>
          </cell>
          <cell r="L1681">
            <v>0</v>
          </cell>
        </row>
        <row r="1682">
          <cell r="A1682">
            <v>3</v>
          </cell>
          <cell r="B1682">
            <v>9</v>
          </cell>
          <cell r="C1682">
            <v>186</v>
          </cell>
          <cell r="D1682">
            <v>77</v>
          </cell>
          <cell r="E1682" t="str">
            <v xml:space="preserve">    </v>
          </cell>
          <cell r="F1682" t="str">
            <v xml:space="preserve">   </v>
          </cell>
          <cell r="G1682">
            <v>3918677</v>
          </cell>
          <cell r="H1682">
            <v>4106316.87</v>
          </cell>
          <cell r="I1682">
            <v>0</v>
          </cell>
          <cell r="J1682">
            <v>2099081.73</v>
          </cell>
          <cell r="K1682">
            <v>2007235.14</v>
          </cell>
          <cell r="L1682">
            <v>0</v>
          </cell>
        </row>
        <row r="1683">
          <cell r="A1683">
            <v>4</v>
          </cell>
          <cell r="B1683">
            <v>9</v>
          </cell>
          <cell r="C1683">
            <v>186</v>
          </cell>
          <cell r="D1683">
            <v>77</v>
          </cell>
          <cell r="E1683" t="str">
            <v xml:space="preserve">    </v>
          </cell>
          <cell r="F1683" t="str">
            <v xml:space="preserve">   </v>
          </cell>
          <cell r="G1683">
            <v>4918677</v>
          </cell>
          <cell r="H1683">
            <v>4106314.99</v>
          </cell>
          <cell r="I1683">
            <v>0</v>
          </cell>
          <cell r="J1683">
            <v>2099080.83</v>
          </cell>
          <cell r="K1683">
            <v>2007234.16</v>
          </cell>
          <cell r="L1683">
            <v>0</v>
          </cell>
        </row>
        <row r="1684">
          <cell r="A1684">
            <v>5</v>
          </cell>
          <cell r="B1684">
            <v>9</v>
          </cell>
          <cell r="C1684">
            <v>186</v>
          </cell>
          <cell r="D1684">
            <v>77</v>
          </cell>
          <cell r="E1684" t="str">
            <v xml:space="preserve">    </v>
          </cell>
          <cell r="F1684" t="str">
            <v xml:space="preserve">   </v>
          </cell>
          <cell r="G1684">
            <v>5918677</v>
          </cell>
          <cell r="H1684">
            <v>4106316.68</v>
          </cell>
          <cell r="I1684">
            <v>0</v>
          </cell>
          <cell r="J1684">
            <v>2099081.64</v>
          </cell>
          <cell r="K1684">
            <v>2007235.04</v>
          </cell>
          <cell r="L1684">
            <v>0</v>
          </cell>
        </row>
        <row r="1685">
          <cell r="A1685">
            <v>3</v>
          </cell>
          <cell r="B1685">
            <v>9</v>
          </cell>
          <cell r="C1685">
            <v>186</v>
          </cell>
          <cell r="D1685">
            <v>79</v>
          </cell>
          <cell r="E1685" t="str">
            <v xml:space="preserve">    </v>
          </cell>
          <cell r="F1685" t="str">
            <v xml:space="preserve">   </v>
          </cell>
          <cell r="G1685">
            <v>3918679</v>
          </cell>
          <cell r="H1685">
            <v>-20625925.199999999</v>
          </cell>
          <cell r="I1685">
            <v>0</v>
          </cell>
          <cell r="J1685">
            <v>-15391459.880000001</v>
          </cell>
          <cell r="K1685">
            <v>-5234465.32</v>
          </cell>
          <cell r="L1685">
            <v>0</v>
          </cell>
        </row>
        <row r="1686">
          <cell r="A1686">
            <v>4</v>
          </cell>
          <cell r="B1686">
            <v>9</v>
          </cell>
          <cell r="C1686">
            <v>186</v>
          </cell>
          <cell r="D1686">
            <v>79</v>
          </cell>
          <cell r="E1686" t="str">
            <v xml:space="preserve">    </v>
          </cell>
          <cell r="F1686" t="str">
            <v xml:space="preserve">   </v>
          </cell>
          <cell r="G1686">
            <v>4918679</v>
          </cell>
          <cell r="H1686">
            <v>-18396729.859999999</v>
          </cell>
          <cell r="I1686">
            <v>0</v>
          </cell>
          <cell r="J1686">
            <v>-13781313.73</v>
          </cell>
          <cell r="K1686">
            <v>-4615416.13</v>
          </cell>
          <cell r="L1686">
            <v>0</v>
          </cell>
        </row>
        <row r="1687">
          <cell r="A1687">
            <v>5</v>
          </cell>
          <cell r="B1687">
            <v>9</v>
          </cell>
          <cell r="C1687">
            <v>186</v>
          </cell>
          <cell r="D1687">
            <v>79</v>
          </cell>
          <cell r="E1687" t="str">
            <v xml:space="preserve">    </v>
          </cell>
          <cell r="F1687" t="str">
            <v xml:space="preserve">   </v>
          </cell>
          <cell r="G1687">
            <v>5918679</v>
          </cell>
          <cell r="H1687">
            <v>-20440158.940000001</v>
          </cell>
          <cell r="I1687">
            <v>0</v>
          </cell>
          <cell r="J1687">
            <v>-15257281.060000001</v>
          </cell>
          <cell r="K1687">
            <v>-5182877.88</v>
          </cell>
          <cell r="L1687">
            <v>0</v>
          </cell>
        </row>
        <row r="1688">
          <cell r="A1688">
            <v>3</v>
          </cell>
          <cell r="B1688">
            <v>9</v>
          </cell>
          <cell r="C1688">
            <v>186</v>
          </cell>
          <cell r="D1688">
            <v>85</v>
          </cell>
          <cell r="E1688" t="str">
            <v xml:space="preserve">    </v>
          </cell>
          <cell r="F1688" t="str">
            <v xml:space="preserve">   </v>
          </cell>
          <cell r="G1688">
            <v>3918685</v>
          </cell>
          <cell r="H1688">
            <v>7124996</v>
          </cell>
          <cell r="I1688">
            <v>7124996</v>
          </cell>
          <cell r="J1688">
            <v>0</v>
          </cell>
          <cell r="K1688">
            <v>0</v>
          </cell>
          <cell r="L1688">
            <v>0</v>
          </cell>
        </row>
        <row r="1689">
          <cell r="A1689">
            <v>4</v>
          </cell>
          <cell r="B1689">
            <v>9</v>
          </cell>
          <cell r="C1689">
            <v>186</v>
          </cell>
          <cell r="D1689">
            <v>85</v>
          </cell>
          <cell r="E1689" t="str">
            <v xml:space="preserve">    </v>
          </cell>
          <cell r="F1689" t="str">
            <v xml:space="preserve">   </v>
          </cell>
          <cell r="G1689">
            <v>4918685</v>
          </cell>
          <cell r="H1689">
            <v>7718746.9500000002</v>
          </cell>
          <cell r="I1689">
            <v>7718746.9500000002</v>
          </cell>
          <cell r="J1689">
            <v>0</v>
          </cell>
          <cell r="K1689">
            <v>0</v>
          </cell>
          <cell r="L1689">
            <v>0</v>
          </cell>
        </row>
        <row r="1690">
          <cell r="A1690">
            <v>5</v>
          </cell>
          <cell r="B1690">
            <v>9</v>
          </cell>
          <cell r="C1690">
            <v>186</v>
          </cell>
          <cell r="D1690">
            <v>85</v>
          </cell>
          <cell r="E1690" t="str">
            <v xml:space="preserve">    </v>
          </cell>
          <cell r="F1690" t="str">
            <v xml:space="preserve">   </v>
          </cell>
          <cell r="G1690">
            <v>5918685</v>
          </cell>
          <cell r="H1690">
            <v>7174475.25</v>
          </cell>
          <cell r="I1690">
            <v>7174475.25</v>
          </cell>
          <cell r="J1690">
            <v>0</v>
          </cell>
          <cell r="K1690">
            <v>0</v>
          </cell>
          <cell r="L1690">
            <v>0</v>
          </cell>
        </row>
        <row r="1691">
          <cell r="A1691">
            <v>3</v>
          </cell>
          <cell r="B1691">
            <v>9</v>
          </cell>
          <cell r="C1691">
            <v>190</v>
          </cell>
          <cell r="D1691">
            <v>10</v>
          </cell>
          <cell r="E1691" t="str">
            <v xml:space="preserve">    </v>
          </cell>
          <cell r="F1691" t="str">
            <v xml:space="preserve">   </v>
          </cell>
          <cell r="G1691">
            <v>3919010</v>
          </cell>
          <cell r="H1691">
            <v>6840420</v>
          </cell>
          <cell r="I1691">
            <v>6840420</v>
          </cell>
          <cell r="J1691">
            <v>0</v>
          </cell>
          <cell r="K1691">
            <v>0</v>
          </cell>
          <cell r="L1691">
            <v>0</v>
          </cell>
        </row>
        <row r="1692">
          <cell r="A1692">
            <v>4</v>
          </cell>
          <cell r="B1692">
            <v>9</v>
          </cell>
          <cell r="C1692">
            <v>190</v>
          </cell>
          <cell r="D1692">
            <v>10</v>
          </cell>
          <cell r="E1692" t="str">
            <v xml:space="preserve">    </v>
          </cell>
          <cell r="F1692" t="str">
            <v xml:space="preserve">   </v>
          </cell>
          <cell r="G1692">
            <v>4919010</v>
          </cell>
          <cell r="H1692">
            <v>6581394.0599999996</v>
          </cell>
          <cell r="I1692">
            <v>6581394.0599999996</v>
          </cell>
          <cell r="J1692">
            <v>0</v>
          </cell>
          <cell r="K1692">
            <v>0</v>
          </cell>
          <cell r="L1692">
            <v>0</v>
          </cell>
        </row>
        <row r="1693">
          <cell r="A1693">
            <v>5</v>
          </cell>
          <cell r="B1693">
            <v>9</v>
          </cell>
          <cell r="C1693">
            <v>190</v>
          </cell>
          <cell r="D1693">
            <v>10</v>
          </cell>
          <cell r="E1693" t="str">
            <v xml:space="preserve">    </v>
          </cell>
          <cell r="F1693" t="str">
            <v xml:space="preserve">   </v>
          </cell>
          <cell r="G1693">
            <v>5919010</v>
          </cell>
          <cell r="H1693">
            <v>6766115</v>
          </cell>
          <cell r="I1693">
            <v>6766115</v>
          </cell>
          <cell r="J1693">
            <v>0</v>
          </cell>
          <cell r="K1693">
            <v>0</v>
          </cell>
          <cell r="L1693">
            <v>0</v>
          </cell>
        </row>
        <row r="1694">
          <cell r="A1694">
            <v>3</v>
          </cell>
          <cell r="B1694">
            <v>9</v>
          </cell>
          <cell r="C1694">
            <v>190</v>
          </cell>
          <cell r="D1694">
            <v>11</v>
          </cell>
          <cell r="E1694" t="str">
            <v xml:space="preserve">    </v>
          </cell>
          <cell r="F1694" t="str">
            <v xml:space="preserve">   </v>
          </cell>
          <cell r="G1694">
            <v>3919011</v>
          </cell>
          <cell r="H1694">
            <v>2325477</v>
          </cell>
          <cell r="I1694">
            <v>2325477</v>
          </cell>
          <cell r="J1694">
            <v>0</v>
          </cell>
          <cell r="K1694">
            <v>0</v>
          </cell>
          <cell r="L1694">
            <v>0</v>
          </cell>
        </row>
        <row r="1695">
          <cell r="A1695">
            <v>4</v>
          </cell>
          <cell r="B1695">
            <v>9</v>
          </cell>
          <cell r="C1695">
            <v>190</v>
          </cell>
          <cell r="D1695">
            <v>11</v>
          </cell>
          <cell r="E1695" t="str">
            <v xml:space="preserve">    </v>
          </cell>
          <cell r="F1695" t="str">
            <v xml:space="preserve">   </v>
          </cell>
          <cell r="G1695">
            <v>4919011</v>
          </cell>
          <cell r="H1695">
            <v>2420306.9500000002</v>
          </cell>
          <cell r="I1695">
            <v>2420306.9500000002</v>
          </cell>
          <cell r="J1695">
            <v>0</v>
          </cell>
          <cell r="K1695">
            <v>0</v>
          </cell>
          <cell r="L1695">
            <v>0</v>
          </cell>
        </row>
        <row r="1696">
          <cell r="A1696">
            <v>5</v>
          </cell>
          <cell r="B1696">
            <v>9</v>
          </cell>
          <cell r="C1696">
            <v>190</v>
          </cell>
          <cell r="D1696">
            <v>11</v>
          </cell>
          <cell r="E1696" t="str">
            <v xml:space="preserve">    </v>
          </cell>
          <cell r="F1696" t="str">
            <v xml:space="preserve">   </v>
          </cell>
          <cell r="G1696">
            <v>5919011</v>
          </cell>
          <cell r="H1696">
            <v>2333379.5</v>
          </cell>
          <cell r="I1696">
            <v>2333379.5</v>
          </cell>
          <cell r="J1696">
            <v>0</v>
          </cell>
          <cell r="K1696">
            <v>0</v>
          </cell>
          <cell r="L1696">
            <v>0</v>
          </cell>
        </row>
        <row r="1697">
          <cell r="A1697">
            <v>3</v>
          </cell>
          <cell r="B1697">
            <v>9</v>
          </cell>
          <cell r="C1697">
            <v>190</v>
          </cell>
          <cell r="D1697">
            <v>15</v>
          </cell>
          <cell r="E1697" t="str">
            <v xml:space="preserve">    </v>
          </cell>
          <cell r="F1697" t="str">
            <v xml:space="preserve">   </v>
          </cell>
          <cell r="G1697">
            <v>3919015</v>
          </cell>
          <cell r="H1697">
            <v>1554762</v>
          </cell>
          <cell r="I1697">
            <v>1554762</v>
          </cell>
          <cell r="J1697">
            <v>0</v>
          </cell>
          <cell r="K1697">
            <v>0</v>
          </cell>
          <cell r="L1697">
            <v>0</v>
          </cell>
        </row>
        <row r="1698">
          <cell r="A1698">
            <v>4</v>
          </cell>
          <cell r="B1698">
            <v>9</v>
          </cell>
          <cell r="C1698">
            <v>190</v>
          </cell>
          <cell r="D1698">
            <v>15</v>
          </cell>
          <cell r="E1698" t="str">
            <v xml:space="preserve">    </v>
          </cell>
          <cell r="F1698" t="str">
            <v xml:space="preserve">   </v>
          </cell>
          <cell r="G1698">
            <v>4919015</v>
          </cell>
          <cell r="H1698">
            <v>1442550.58</v>
          </cell>
          <cell r="I1698">
            <v>1442550.58</v>
          </cell>
          <cell r="J1698">
            <v>0</v>
          </cell>
          <cell r="K1698">
            <v>0</v>
          </cell>
          <cell r="L1698">
            <v>0</v>
          </cell>
        </row>
        <row r="1699">
          <cell r="A1699">
            <v>5</v>
          </cell>
          <cell r="B1699">
            <v>9</v>
          </cell>
          <cell r="C1699">
            <v>190</v>
          </cell>
          <cell r="D1699">
            <v>15</v>
          </cell>
          <cell r="E1699" t="str">
            <v xml:space="preserve">    </v>
          </cell>
          <cell r="F1699" t="str">
            <v xml:space="preserve">   </v>
          </cell>
          <cell r="G1699">
            <v>5919015</v>
          </cell>
          <cell r="H1699">
            <v>1547396</v>
          </cell>
          <cell r="I1699">
            <v>1547396</v>
          </cell>
          <cell r="J1699">
            <v>0</v>
          </cell>
          <cell r="K1699">
            <v>0</v>
          </cell>
          <cell r="L1699">
            <v>0</v>
          </cell>
        </row>
        <row r="1700">
          <cell r="A1700">
            <v>3</v>
          </cell>
          <cell r="B1700">
            <v>9</v>
          </cell>
          <cell r="C1700">
            <v>190</v>
          </cell>
          <cell r="D1700">
            <v>17</v>
          </cell>
          <cell r="E1700" t="str">
            <v xml:space="preserve">    </v>
          </cell>
          <cell r="F1700" t="str">
            <v xml:space="preserve">   </v>
          </cell>
          <cell r="G1700">
            <v>3919017</v>
          </cell>
          <cell r="H1700">
            <v>730489</v>
          </cell>
          <cell r="I1700">
            <v>730489</v>
          </cell>
          <cell r="J1700">
            <v>0</v>
          </cell>
          <cell r="K1700">
            <v>0</v>
          </cell>
          <cell r="L1700">
            <v>0</v>
          </cell>
        </row>
        <row r="1701">
          <cell r="A1701">
            <v>4</v>
          </cell>
          <cell r="B1701">
            <v>9</v>
          </cell>
          <cell r="C1701">
            <v>190</v>
          </cell>
          <cell r="D1701">
            <v>17</v>
          </cell>
          <cell r="E1701" t="str">
            <v xml:space="preserve">    </v>
          </cell>
          <cell r="F1701" t="str">
            <v xml:space="preserve">   </v>
          </cell>
          <cell r="G1701">
            <v>4919017</v>
          </cell>
          <cell r="H1701">
            <v>730488.96</v>
          </cell>
          <cell r="I1701">
            <v>730488.96</v>
          </cell>
          <cell r="J1701">
            <v>0</v>
          </cell>
          <cell r="K1701">
            <v>0</v>
          </cell>
          <cell r="L1701">
            <v>0</v>
          </cell>
        </row>
        <row r="1702">
          <cell r="A1702">
            <v>5</v>
          </cell>
          <cell r="B1702">
            <v>9</v>
          </cell>
          <cell r="C1702">
            <v>190</v>
          </cell>
          <cell r="D1702">
            <v>17</v>
          </cell>
          <cell r="E1702" t="str">
            <v xml:space="preserve">    </v>
          </cell>
          <cell r="F1702" t="str">
            <v xml:space="preserve">   </v>
          </cell>
          <cell r="G1702">
            <v>5919017</v>
          </cell>
          <cell r="H1702">
            <v>730489</v>
          </cell>
          <cell r="I1702">
            <v>730489</v>
          </cell>
          <cell r="J1702">
            <v>0</v>
          </cell>
          <cell r="K1702">
            <v>0</v>
          </cell>
          <cell r="L1702">
            <v>0</v>
          </cell>
        </row>
        <row r="1703">
          <cell r="A1703">
            <v>3</v>
          </cell>
          <cell r="B1703">
            <v>9</v>
          </cell>
          <cell r="C1703">
            <v>190</v>
          </cell>
          <cell r="D1703">
            <v>18</v>
          </cell>
          <cell r="E1703" t="str">
            <v xml:space="preserve">    </v>
          </cell>
          <cell r="F1703" t="str">
            <v xml:space="preserve">   </v>
          </cell>
          <cell r="G1703">
            <v>3919018</v>
          </cell>
          <cell r="H1703">
            <v>626272</v>
          </cell>
          <cell r="I1703">
            <v>626272</v>
          </cell>
          <cell r="J1703">
            <v>0</v>
          </cell>
          <cell r="K1703">
            <v>0</v>
          </cell>
          <cell r="L1703">
            <v>0</v>
          </cell>
        </row>
        <row r="1704">
          <cell r="A1704">
            <v>4</v>
          </cell>
          <cell r="B1704">
            <v>9</v>
          </cell>
          <cell r="C1704">
            <v>190</v>
          </cell>
          <cell r="D1704">
            <v>18</v>
          </cell>
          <cell r="E1704" t="str">
            <v xml:space="preserve">    </v>
          </cell>
          <cell r="F1704" t="str">
            <v xml:space="preserve">   </v>
          </cell>
          <cell r="G1704">
            <v>4919018</v>
          </cell>
          <cell r="H1704">
            <v>626271.94999999995</v>
          </cell>
          <cell r="I1704">
            <v>626271.94999999995</v>
          </cell>
          <cell r="J1704">
            <v>0</v>
          </cell>
          <cell r="K1704">
            <v>0</v>
          </cell>
          <cell r="L1704">
            <v>0</v>
          </cell>
        </row>
        <row r="1705">
          <cell r="A1705">
            <v>5</v>
          </cell>
          <cell r="B1705">
            <v>9</v>
          </cell>
          <cell r="C1705">
            <v>190</v>
          </cell>
          <cell r="D1705">
            <v>18</v>
          </cell>
          <cell r="E1705" t="str">
            <v xml:space="preserve">    </v>
          </cell>
          <cell r="F1705" t="str">
            <v xml:space="preserve">   </v>
          </cell>
          <cell r="G1705">
            <v>5919018</v>
          </cell>
          <cell r="H1705">
            <v>626272</v>
          </cell>
          <cell r="I1705">
            <v>626272</v>
          </cell>
          <cell r="J1705">
            <v>0</v>
          </cell>
          <cell r="K1705">
            <v>0</v>
          </cell>
          <cell r="L1705">
            <v>0</v>
          </cell>
        </row>
        <row r="1706">
          <cell r="A1706">
            <v>3</v>
          </cell>
          <cell r="B1706">
            <v>9</v>
          </cell>
          <cell r="C1706">
            <v>190</v>
          </cell>
          <cell r="D1706">
            <v>19</v>
          </cell>
          <cell r="E1706" t="str">
            <v xml:space="preserve">    </v>
          </cell>
          <cell r="F1706" t="str">
            <v xml:space="preserve">   </v>
          </cell>
          <cell r="G1706">
            <v>3919019</v>
          </cell>
          <cell r="H1706">
            <v>459674</v>
          </cell>
          <cell r="I1706">
            <v>459674</v>
          </cell>
          <cell r="J1706">
            <v>0</v>
          </cell>
          <cell r="K1706">
            <v>0</v>
          </cell>
          <cell r="L1706">
            <v>0</v>
          </cell>
        </row>
        <row r="1707">
          <cell r="A1707">
            <v>4</v>
          </cell>
          <cell r="B1707">
            <v>9</v>
          </cell>
          <cell r="C1707">
            <v>190</v>
          </cell>
          <cell r="D1707">
            <v>19</v>
          </cell>
          <cell r="E1707" t="str">
            <v xml:space="preserve">    </v>
          </cell>
          <cell r="F1707" t="str">
            <v xml:space="preserve">   </v>
          </cell>
          <cell r="G1707">
            <v>4919019</v>
          </cell>
          <cell r="H1707">
            <v>459673.92</v>
          </cell>
          <cell r="I1707">
            <v>459673.92</v>
          </cell>
          <cell r="J1707">
            <v>0</v>
          </cell>
          <cell r="K1707">
            <v>0</v>
          </cell>
          <cell r="L1707">
            <v>0</v>
          </cell>
        </row>
        <row r="1708">
          <cell r="A1708">
            <v>5</v>
          </cell>
          <cell r="B1708">
            <v>9</v>
          </cell>
          <cell r="C1708">
            <v>190</v>
          </cell>
          <cell r="D1708">
            <v>19</v>
          </cell>
          <cell r="E1708" t="str">
            <v xml:space="preserve">    </v>
          </cell>
          <cell r="F1708" t="str">
            <v xml:space="preserve">   </v>
          </cell>
          <cell r="G1708">
            <v>5919019</v>
          </cell>
          <cell r="H1708">
            <v>459674</v>
          </cell>
          <cell r="I1708">
            <v>459674</v>
          </cell>
          <cell r="J1708">
            <v>0</v>
          </cell>
          <cell r="K1708">
            <v>0</v>
          </cell>
          <cell r="L1708">
            <v>0</v>
          </cell>
        </row>
        <row r="1709">
          <cell r="A1709">
            <v>3</v>
          </cell>
          <cell r="B1709">
            <v>9</v>
          </cell>
          <cell r="C1709">
            <v>190</v>
          </cell>
          <cell r="D1709">
            <v>20</v>
          </cell>
          <cell r="E1709" t="str">
            <v xml:space="preserve">    </v>
          </cell>
          <cell r="F1709" t="str">
            <v xml:space="preserve">   </v>
          </cell>
          <cell r="G1709">
            <v>3919020</v>
          </cell>
          <cell r="H1709">
            <v>379694</v>
          </cell>
          <cell r="I1709">
            <v>379694</v>
          </cell>
          <cell r="J1709">
            <v>0</v>
          </cell>
          <cell r="K1709">
            <v>0</v>
          </cell>
          <cell r="L1709">
            <v>0</v>
          </cell>
        </row>
        <row r="1710">
          <cell r="A1710">
            <v>4</v>
          </cell>
          <cell r="B1710">
            <v>9</v>
          </cell>
          <cell r="C1710">
            <v>190</v>
          </cell>
          <cell r="D1710">
            <v>20</v>
          </cell>
          <cell r="E1710" t="str">
            <v xml:space="preserve">    </v>
          </cell>
          <cell r="F1710" t="str">
            <v xml:space="preserve">   </v>
          </cell>
          <cell r="G1710">
            <v>4919020</v>
          </cell>
          <cell r="H1710">
            <v>358924.17</v>
          </cell>
          <cell r="I1710">
            <v>358924.17</v>
          </cell>
          <cell r="J1710">
            <v>0</v>
          </cell>
          <cell r="K1710">
            <v>0</v>
          </cell>
          <cell r="L1710">
            <v>0</v>
          </cell>
        </row>
        <row r="1711">
          <cell r="A1711">
            <v>5</v>
          </cell>
          <cell r="B1711">
            <v>9</v>
          </cell>
          <cell r="C1711">
            <v>190</v>
          </cell>
          <cell r="D1711">
            <v>20</v>
          </cell>
          <cell r="E1711" t="str">
            <v xml:space="preserve">    </v>
          </cell>
          <cell r="F1711" t="str">
            <v xml:space="preserve">   </v>
          </cell>
          <cell r="G1711">
            <v>5919020</v>
          </cell>
          <cell r="H1711">
            <v>379478</v>
          </cell>
          <cell r="I1711">
            <v>379478</v>
          </cell>
          <cell r="J1711">
            <v>0</v>
          </cell>
          <cell r="K1711">
            <v>0</v>
          </cell>
          <cell r="L1711">
            <v>0</v>
          </cell>
        </row>
        <row r="1712">
          <cell r="A1712">
            <v>3</v>
          </cell>
          <cell r="B1712">
            <v>9</v>
          </cell>
          <cell r="C1712">
            <v>190</v>
          </cell>
          <cell r="D1712">
            <v>21</v>
          </cell>
          <cell r="E1712" t="str">
            <v xml:space="preserve">    </v>
          </cell>
          <cell r="F1712" t="str">
            <v xml:space="preserve">   </v>
          </cell>
          <cell r="G1712">
            <v>3919021</v>
          </cell>
          <cell r="H1712">
            <v>66937</v>
          </cell>
          <cell r="I1712">
            <v>66937</v>
          </cell>
          <cell r="J1712">
            <v>0</v>
          </cell>
          <cell r="K1712">
            <v>0</v>
          </cell>
          <cell r="L1712">
            <v>0</v>
          </cell>
        </row>
        <row r="1713">
          <cell r="A1713">
            <v>4</v>
          </cell>
          <cell r="B1713">
            <v>9</v>
          </cell>
          <cell r="C1713">
            <v>190</v>
          </cell>
          <cell r="D1713">
            <v>21</v>
          </cell>
          <cell r="E1713" t="str">
            <v xml:space="preserve">    </v>
          </cell>
          <cell r="F1713" t="str">
            <v xml:space="preserve">   </v>
          </cell>
          <cell r="G1713">
            <v>4919021</v>
          </cell>
          <cell r="H1713">
            <v>75096.88</v>
          </cell>
          <cell r="I1713">
            <v>75096.88</v>
          </cell>
          <cell r="J1713">
            <v>0</v>
          </cell>
          <cell r="K1713">
            <v>0</v>
          </cell>
          <cell r="L1713">
            <v>0</v>
          </cell>
        </row>
        <row r="1714">
          <cell r="A1714">
            <v>5</v>
          </cell>
          <cell r="B1714">
            <v>9</v>
          </cell>
          <cell r="C1714">
            <v>190</v>
          </cell>
          <cell r="D1714">
            <v>21</v>
          </cell>
          <cell r="E1714" t="str">
            <v xml:space="preserve">    </v>
          </cell>
          <cell r="F1714" t="str">
            <v xml:space="preserve">   </v>
          </cell>
          <cell r="G1714">
            <v>5919021</v>
          </cell>
          <cell r="H1714">
            <v>66724</v>
          </cell>
          <cell r="I1714">
            <v>66724</v>
          </cell>
          <cell r="J1714">
            <v>0</v>
          </cell>
          <cell r="K1714">
            <v>0</v>
          </cell>
          <cell r="L1714">
            <v>0</v>
          </cell>
        </row>
        <row r="1715">
          <cell r="A1715">
            <v>3</v>
          </cell>
          <cell r="B1715">
            <v>9</v>
          </cell>
          <cell r="C1715">
            <v>190</v>
          </cell>
          <cell r="D1715">
            <v>28</v>
          </cell>
          <cell r="E1715" t="str">
            <v xml:space="preserve">    </v>
          </cell>
          <cell r="F1715" t="str">
            <v xml:space="preserve">   </v>
          </cell>
          <cell r="G1715">
            <v>3919028</v>
          </cell>
          <cell r="H1715">
            <v>-22190</v>
          </cell>
          <cell r="I1715">
            <v>-22190</v>
          </cell>
          <cell r="J1715">
            <v>0</v>
          </cell>
          <cell r="K1715">
            <v>0</v>
          </cell>
          <cell r="L1715">
            <v>0</v>
          </cell>
        </row>
        <row r="1716">
          <cell r="A1716">
            <v>4</v>
          </cell>
          <cell r="B1716">
            <v>9</v>
          </cell>
          <cell r="C1716">
            <v>190</v>
          </cell>
          <cell r="D1716">
            <v>28</v>
          </cell>
          <cell r="E1716" t="str">
            <v xml:space="preserve">    </v>
          </cell>
          <cell r="F1716" t="str">
            <v xml:space="preserve">   </v>
          </cell>
          <cell r="G1716">
            <v>4919028</v>
          </cell>
          <cell r="H1716">
            <v>-20169.060000000001</v>
          </cell>
          <cell r="I1716">
            <v>-20169.060000000001</v>
          </cell>
          <cell r="J1716">
            <v>0</v>
          </cell>
          <cell r="K1716">
            <v>0</v>
          </cell>
          <cell r="L1716">
            <v>0</v>
          </cell>
        </row>
        <row r="1717">
          <cell r="A1717">
            <v>5</v>
          </cell>
          <cell r="B1717">
            <v>9</v>
          </cell>
          <cell r="C1717">
            <v>190</v>
          </cell>
          <cell r="D1717">
            <v>28</v>
          </cell>
          <cell r="E1717" t="str">
            <v xml:space="preserve">    </v>
          </cell>
          <cell r="F1717" t="str">
            <v xml:space="preserve">   </v>
          </cell>
          <cell r="G1717">
            <v>5919028</v>
          </cell>
          <cell r="H1717">
            <v>-22263</v>
          </cell>
          <cell r="I1717">
            <v>-22263</v>
          </cell>
          <cell r="J1717">
            <v>0</v>
          </cell>
          <cell r="K1717">
            <v>0</v>
          </cell>
          <cell r="L1717">
            <v>0</v>
          </cell>
        </row>
        <row r="1718">
          <cell r="A1718">
            <v>3</v>
          </cell>
          <cell r="B1718">
            <v>9</v>
          </cell>
          <cell r="C1718">
            <v>190</v>
          </cell>
          <cell r="D1718">
            <v>38</v>
          </cell>
          <cell r="E1718" t="str">
            <v xml:space="preserve">    </v>
          </cell>
          <cell r="F1718" t="str">
            <v xml:space="preserve">   </v>
          </cell>
          <cell r="G1718">
            <v>3919038</v>
          </cell>
          <cell r="H1718">
            <v>1669144</v>
          </cell>
          <cell r="I1718">
            <v>0</v>
          </cell>
          <cell r="J1718">
            <v>0</v>
          </cell>
          <cell r="K1718">
            <v>1669144</v>
          </cell>
          <cell r="L1718">
            <v>0</v>
          </cell>
        </row>
        <row r="1719">
          <cell r="A1719">
            <v>4</v>
          </cell>
          <cell r="B1719">
            <v>9</v>
          </cell>
          <cell r="C1719">
            <v>190</v>
          </cell>
          <cell r="D1719">
            <v>38</v>
          </cell>
          <cell r="E1719" t="str">
            <v xml:space="preserve">    </v>
          </cell>
          <cell r="F1719" t="str">
            <v xml:space="preserve">   </v>
          </cell>
          <cell r="G1719">
            <v>4919038</v>
          </cell>
          <cell r="H1719">
            <v>2107011.58</v>
          </cell>
          <cell r="I1719">
            <v>0</v>
          </cell>
          <cell r="J1719">
            <v>0</v>
          </cell>
          <cell r="K1719">
            <v>2107011.58</v>
          </cell>
          <cell r="L1719">
            <v>0</v>
          </cell>
        </row>
        <row r="1720">
          <cell r="A1720">
            <v>5</v>
          </cell>
          <cell r="B1720">
            <v>9</v>
          </cell>
          <cell r="C1720">
            <v>190</v>
          </cell>
          <cell r="D1720">
            <v>38</v>
          </cell>
          <cell r="E1720" t="str">
            <v xml:space="preserve">    </v>
          </cell>
          <cell r="F1720" t="str">
            <v xml:space="preserve">   </v>
          </cell>
          <cell r="G1720">
            <v>5919038</v>
          </cell>
          <cell r="H1720">
            <v>1789176</v>
          </cell>
          <cell r="I1720">
            <v>0</v>
          </cell>
          <cell r="J1720">
            <v>0</v>
          </cell>
          <cell r="K1720">
            <v>1789176</v>
          </cell>
          <cell r="L1720">
            <v>0</v>
          </cell>
        </row>
        <row r="1721">
          <cell r="A1721">
            <v>3</v>
          </cell>
          <cell r="B1721">
            <v>9</v>
          </cell>
          <cell r="C1721">
            <v>190</v>
          </cell>
          <cell r="D1721">
            <v>61</v>
          </cell>
          <cell r="E1721" t="str">
            <v xml:space="preserve">    </v>
          </cell>
          <cell r="F1721" t="str">
            <v xml:space="preserve">   </v>
          </cell>
          <cell r="G1721">
            <v>3919061</v>
          </cell>
          <cell r="H1721">
            <v>3938235</v>
          </cell>
          <cell r="I1721">
            <v>0</v>
          </cell>
          <cell r="J1721">
            <v>3938235</v>
          </cell>
          <cell r="K1721">
            <v>0</v>
          </cell>
          <cell r="L1721">
            <v>0</v>
          </cell>
        </row>
        <row r="1722">
          <cell r="A1722">
            <v>4</v>
          </cell>
          <cell r="B1722">
            <v>9</v>
          </cell>
          <cell r="C1722">
            <v>190</v>
          </cell>
          <cell r="D1722">
            <v>61</v>
          </cell>
          <cell r="E1722" t="str">
            <v xml:space="preserve">    </v>
          </cell>
          <cell r="F1722" t="str">
            <v xml:space="preserve">   </v>
          </cell>
          <cell r="G1722">
            <v>4919061</v>
          </cell>
          <cell r="H1722">
            <v>3780008.68</v>
          </cell>
          <cell r="I1722">
            <v>0</v>
          </cell>
          <cell r="J1722">
            <v>3780008.68</v>
          </cell>
          <cell r="K1722">
            <v>0</v>
          </cell>
          <cell r="L1722">
            <v>0</v>
          </cell>
        </row>
        <row r="1723">
          <cell r="A1723">
            <v>5</v>
          </cell>
          <cell r="B1723">
            <v>9</v>
          </cell>
          <cell r="C1723">
            <v>190</v>
          </cell>
          <cell r="D1723">
            <v>61</v>
          </cell>
          <cell r="E1723" t="str">
            <v xml:space="preserve">    </v>
          </cell>
          <cell r="F1723" t="str">
            <v xml:space="preserve">   </v>
          </cell>
          <cell r="G1723">
            <v>5919061</v>
          </cell>
          <cell r="H1723">
            <v>3937923</v>
          </cell>
          <cell r="I1723">
            <v>0</v>
          </cell>
          <cell r="J1723">
            <v>3937923</v>
          </cell>
          <cell r="K1723">
            <v>0</v>
          </cell>
          <cell r="L1723">
            <v>0</v>
          </cell>
        </row>
        <row r="1724">
          <cell r="A1724">
            <v>3</v>
          </cell>
          <cell r="B1724">
            <v>9</v>
          </cell>
          <cell r="C1724">
            <v>190</v>
          </cell>
          <cell r="D1724">
            <v>63</v>
          </cell>
          <cell r="E1724" t="str">
            <v xml:space="preserve">    </v>
          </cell>
          <cell r="F1724" t="str">
            <v xml:space="preserve">   </v>
          </cell>
          <cell r="G1724">
            <v>3919063</v>
          </cell>
          <cell r="H1724">
            <v>1915970</v>
          </cell>
          <cell r="I1724">
            <v>0</v>
          </cell>
          <cell r="J1724">
            <v>0</v>
          </cell>
          <cell r="K1724">
            <v>1915970</v>
          </cell>
          <cell r="L1724">
            <v>0</v>
          </cell>
        </row>
        <row r="1725">
          <cell r="A1725">
            <v>4</v>
          </cell>
          <cell r="B1725">
            <v>9</v>
          </cell>
          <cell r="C1725">
            <v>190</v>
          </cell>
          <cell r="D1725">
            <v>63</v>
          </cell>
          <cell r="E1725" t="str">
            <v xml:space="preserve">    </v>
          </cell>
          <cell r="F1725" t="str">
            <v xml:space="preserve">   </v>
          </cell>
          <cell r="G1725">
            <v>4919063</v>
          </cell>
          <cell r="H1725">
            <v>1716968.96</v>
          </cell>
          <cell r="I1725">
            <v>0</v>
          </cell>
          <cell r="J1725">
            <v>0</v>
          </cell>
          <cell r="K1725">
            <v>1716968.96</v>
          </cell>
          <cell r="L1725">
            <v>0</v>
          </cell>
        </row>
        <row r="1726">
          <cell r="A1726">
            <v>5</v>
          </cell>
          <cell r="B1726">
            <v>9</v>
          </cell>
          <cell r="C1726">
            <v>190</v>
          </cell>
          <cell r="D1726">
            <v>63</v>
          </cell>
          <cell r="E1726" t="str">
            <v xml:space="preserve">    </v>
          </cell>
          <cell r="F1726" t="str">
            <v xml:space="preserve">   </v>
          </cell>
          <cell r="G1726">
            <v>5919063</v>
          </cell>
          <cell r="H1726">
            <v>1908886</v>
          </cell>
          <cell r="I1726">
            <v>0</v>
          </cell>
          <cell r="J1726">
            <v>0</v>
          </cell>
          <cell r="K1726">
            <v>1908886</v>
          </cell>
          <cell r="L1726">
            <v>0</v>
          </cell>
        </row>
        <row r="1727">
          <cell r="A1727">
            <v>3</v>
          </cell>
          <cell r="B1727">
            <v>9</v>
          </cell>
          <cell r="C1727">
            <v>190</v>
          </cell>
          <cell r="D1727">
            <v>64</v>
          </cell>
          <cell r="E1727" t="str">
            <v xml:space="preserve">    </v>
          </cell>
          <cell r="F1727" t="str">
            <v xml:space="preserve">   </v>
          </cell>
          <cell r="G1727">
            <v>3919064</v>
          </cell>
          <cell r="H1727">
            <v>730305</v>
          </cell>
          <cell r="I1727">
            <v>0</v>
          </cell>
          <cell r="J1727">
            <v>730305</v>
          </cell>
          <cell r="K1727">
            <v>0</v>
          </cell>
          <cell r="L1727">
            <v>0</v>
          </cell>
        </row>
        <row r="1728">
          <cell r="A1728">
            <v>4</v>
          </cell>
          <cell r="B1728">
            <v>9</v>
          </cell>
          <cell r="C1728">
            <v>190</v>
          </cell>
          <cell r="D1728">
            <v>64</v>
          </cell>
          <cell r="E1728" t="str">
            <v xml:space="preserve">    </v>
          </cell>
          <cell r="F1728" t="str">
            <v xml:space="preserve">   </v>
          </cell>
          <cell r="G1728">
            <v>4919064</v>
          </cell>
          <cell r="H1728">
            <v>666381.66</v>
          </cell>
          <cell r="I1728">
            <v>0</v>
          </cell>
          <cell r="J1728">
            <v>666381.66</v>
          </cell>
          <cell r="K1728">
            <v>0</v>
          </cell>
          <cell r="L1728">
            <v>0</v>
          </cell>
        </row>
        <row r="1729">
          <cell r="A1729">
            <v>5</v>
          </cell>
          <cell r="B1729">
            <v>9</v>
          </cell>
          <cell r="C1729">
            <v>190</v>
          </cell>
          <cell r="D1729">
            <v>64</v>
          </cell>
          <cell r="E1729" t="str">
            <v xml:space="preserve">    </v>
          </cell>
          <cell r="F1729" t="str">
            <v xml:space="preserve">   </v>
          </cell>
          <cell r="G1729">
            <v>5919064</v>
          </cell>
          <cell r="H1729">
            <v>729958.5</v>
          </cell>
          <cell r="I1729">
            <v>0</v>
          </cell>
          <cell r="J1729">
            <v>729958.5</v>
          </cell>
          <cell r="K1729">
            <v>0</v>
          </cell>
          <cell r="L1729">
            <v>0</v>
          </cell>
        </row>
        <row r="1730">
          <cell r="A1730">
            <v>3</v>
          </cell>
          <cell r="B1730">
            <v>9</v>
          </cell>
          <cell r="C1730">
            <v>190</v>
          </cell>
          <cell r="D1730">
            <v>65</v>
          </cell>
          <cell r="E1730" t="str">
            <v xml:space="preserve">    </v>
          </cell>
          <cell r="F1730" t="str">
            <v xml:space="preserve">   </v>
          </cell>
          <cell r="G1730">
            <v>3919065</v>
          </cell>
          <cell r="H1730">
            <v>273159</v>
          </cell>
          <cell r="I1730">
            <v>0</v>
          </cell>
          <cell r="J1730">
            <v>0</v>
          </cell>
          <cell r="K1730">
            <v>273159</v>
          </cell>
          <cell r="L1730">
            <v>0</v>
          </cell>
        </row>
        <row r="1731">
          <cell r="A1731">
            <v>4</v>
          </cell>
          <cell r="B1731">
            <v>9</v>
          </cell>
          <cell r="C1731">
            <v>190</v>
          </cell>
          <cell r="D1731">
            <v>65</v>
          </cell>
          <cell r="E1731" t="str">
            <v xml:space="preserve">    </v>
          </cell>
          <cell r="F1731" t="str">
            <v xml:space="preserve">   </v>
          </cell>
          <cell r="G1731">
            <v>4919065</v>
          </cell>
          <cell r="H1731">
            <v>208340.12</v>
          </cell>
          <cell r="I1731">
            <v>0</v>
          </cell>
          <cell r="J1731">
            <v>0</v>
          </cell>
          <cell r="K1731">
            <v>208340.12</v>
          </cell>
          <cell r="L1731">
            <v>0</v>
          </cell>
        </row>
        <row r="1732">
          <cell r="A1732">
            <v>5</v>
          </cell>
          <cell r="B1732">
            <v>9</v>
          </cell>
          <cell r="C1732">
            <v>190</v>
          </cell>
          <cell r="D1732">
            <v>65</v>
          </cell>
          <cell r="E1732" t="str">
            <v xml:space="preserve">    </v>
          </cell>
          <cell r="F1732" t="str">
            <v xml:space="preserve">   </v>
          </cell>
          <cell r="G1732">
            <v>5919065</v>
          </cell>
          <cell r="H1732">
            <v>265183</v>
          </cell>
          <cell r="I1732">
            <v>0</v>
          </cell>
          <cell r="J1732">
            <v>0</v>
          </cell>
          <cell r="K1732">
            <v>265183</v>
          </cell>
          <cell r="L1732">
            <v>0</v>
          </cell>
        </row>
        <row r="1733">
          <cell r="A1733">
            <v>3</v>
          </cell>
          <cell r="B1733">
            <v>9</v>
          </cell>
          <cell r="C1733">
            <v>190</v>
          </cell>
          <cell r="D1733">
            <v>68</v>
          </cell>
          <cell r="E1733" t="str">
            <v xml:space="preserve">    </v>
          </cell>
          <cell r="F1733" t="str">
            <v xml:space="preserve">   </v>
          </cell>
          <cell r="G1733">
            <v>3919068</v>
          </cell>
          <cell r="H1733">
            <v>237622.49</v>
          </cell>
          <cell r="I1733">
            <v>0</v>
          </cell>
          <cell r="J1733">
            <v>237622.49</v>
          </cell>
          <cell r="K1733">
            <v>0</v>
          </cell>
          <cell r="L1733">
            <v>0</v>
          </cell>
        </row>
        <row r="1734">
          <cell r="A1734">
            <v>4</v>
          </cell>
          <cell r="B1734">
            <v>9</v>
          </cell>
          <cell r="C1734">
            <v>190</v>
          </cell>
          <cell r="D1734">
            <v>68</v>
          </cell>
          <cell r="E1734" t="str">
            <v xml:space="preserve">    </v>
          </cell>
          <cell r="F1734" t="str">
            <v xml:space="preserve">   </v>
          </cell>
          <cell r="G1734">
            <v>4919068</v>
          </cell>
          <cell r="H1734">
            <v>226392.1</v>
          </cell>
          <cell r="I1734">
            <v>0</v>
          </cell>
          <cell r="J1734">
            <v>226392.1</v>
          </cell>
          <cell r="K1734">
            <v>0</v>
          </cell>
          <cell r="L1734">
            <v>0</v>
          </cell>
        </row>
        <row r="1735">
          <cell r="A1735">
            <v>5</v>
          </cell>
          <cell r="B1735">
            <v>9</v>
          </cell>
          <cell r="C1735">
            <v>190</v>
          </cell>
          <cell r="D1735">
            <v>68</v>
          </cell>
          <cell r="E1735" t="str">
            <v xml:space="preserve">    </v>
          </cell>
          <cell r="F1735" t="str">
            <v xml:space="preserve">   </v>
          </cell>
          <cell r="G1735">
            <v>5919068</v>
          </cell>
          <cell r="H1735">
            <v>236668.98</v>
          </cell>
          <cell r="I1735">
            <v>0</v>
          </cell>
          <cell r="J1735">
            <v>236668.98</v>
          </cell>
          <cell r="K1735">
            <v>0</v>
          </cell>
          <cell r="L1735">
            <v>0</v>
          </cell>
        </row>
        <row r="1736">
          <cell r="A1736">
            <v>3</v>
          </cell>
          <cell r="B1736">
            <v>9</v>
          </cell>
          <cell r="C1736">
            <v>190</v>
          </cell>
          <cell r="D1736">
            <v>78</v>
          </cell>
          <cell r="E1736" t="str">
            <v xml:space="preserve">    </v>
          </cell>
          <cell r="F1736" t="str">
            <v xml:space="preserve">   </v>
          </cell>
          <cell r="G1736">
            <v>3919078</v>
          </cell>
          <cell r="H1736">
            <v>64079</v>
          </cell>
          <cell r="I1736">
            <v>0</v>
          </cell>
          <cell r="J1736">
            <v>0</v>
          </cell>
          <cell r="K1736">
            <v>64079</v>
          </cell>
          <cell r="L1736">
            <v>0</v>
          </cell>
        </row>
        <row r="1737">
          <cell r="A1737">
            <v>4</v>
          </cell>
          <cell r="B1737">
            <v>9</v>
          </cell>
          <cell r="C1737">
            <v>190</v>
          </cell>
          <cell r="D1737">
            <v>78</v>
          </cell>
          <cell r="E1737" t="str">
            <v xml:space="preserve">    </v>
          </cell>
          <cell r="F1737" t="str">
            <v xml:space="preserve">   </v>
          </cell>
          <cell r="G1737">
            <v>4919078</v>
          </cell>
          <cell r="H1737">
            <v>61355.58</v>
          </cell>
          <cell r="I1737">
            <v>0</v>
          </cell>
          <cell r="J1737">
            <v>0</v>
          </cell>
          <cell r="K1737">
            <v>61355.58</v>
          </cell>
          <cell r="L1737">
            <v>0</v>
          </cell>
        </row>
        <row r="1738">
          <cell r="A1738">
            <v>5</v>
          </cell>
          <cell r="B1738">
            <v>9</v>
          </cell>
          <cell r="C1738">
            <v>190</v>
          </cell>
          <cell r="D1738">
            <v>78</v>
          </cell>
          <cell r="E1738" t="str">
            <v xml:space="preserve">    </v>
          </cell>
          <cell r="F1738" t="str">
            <v xml:space="preserve">   </v>
          </cell>
          <cell r="G1738">
            <v>5919078</v>
          </cell>
          <cell r="H1738">
            <v>63095</v>
          </cell>
          <cell r="I1738">
            <v>0</v>
          </cell>
          <cell r="J1738">
            <v>0</v>
          </cell>
          <cell r="K1738">
            <v>63095</v>
          </cell>
          <cell r="L1738">
            <v>0</v>
          </cell>
        </row>
        <row r="1739">
          <cell r="A1739">
            <v>3</v>
          </cell>
          <cell r="B1739">
            <v>9</v>
          </cell>
          <cell r="C1739">
            <v>190</v>
          </cell>
          <cell r="D1739">
            <v>85</v>
          </cell>
          <cell r="E1739" t="str">
            <v xml:space="preserve">    </v>
          </cell>
          <cell r="F1739" t="str">
            <v xml:space="preserve">   </v>
          </cell>
          <cell r="G1739">
            <v>3919085</v>
          </cell>
          <cell r="H1739">
            <v>892219.65</v>
          </cell>
          <cell r="I1739">
            <v>892219.65</v>
          </cell>
          <cell r="J1739">
            <v>0</v>
          </cell>
          <cell r="K1739">
            <v>0</v>
          </cell>
          <cell r="L1739">
            <v>0</v>
          </cell>
        </row>
        <row r="1740">
          <cell r="A1740">
            <v>4</v>
          </cell>
          <cell r="B1740">
            <v>9</v>
          </cell>
          <cell r="C1740">
            <v>190</v>
          </cell>
          <cell r="D1740">
            <v>85</v>
          </cell>
          <cell r="E1740" t="str">
            <v xml:space="preserve">    </v>
          </cell>
          <cell r="F1740" t="str">
            <v xml:space="preserve">   </v>
          </cell>
          <cell r="G1740">
            <v>4919085</v>
          </cell>
          <cell r="H1740">
            <v>925550.25</v>
          </cell>
          <cell r="I1740">
            <v>925550.25</v>
          </cell>
          <cell r="J1740">
            <v>0</v>
          </cell>
          <cell r="K1740">
            <v>0</v>
          </cell>
          <cell r="L1740">
            <v>0</v>
          </cell>
        </row>
        <row r="1741">
          <cell r="A1741">
            <v>5</v>
          </cell>
          <cell r="B1741">
            <v>9</v>
          </cell>
          <cell r="C1741">
            <v>190</v>
          </cell>
          <cell r="D1741">
            <v>85</v>
          </cell>
          <cell r="E1741" t="str">
            <v xml:space="preserve">    </v>
          </cell>
          <cell r="F1741" t="str">
            <v xml:space="preserve">   </v>
          </cell>
          <cell r="G1741">
            <v>5919085</v>
          </cell>
          <cell r="H1741">
            <v>895079.14</v>
          </cell>
          <cell r="I1741">
            <v>895079.14</v>
          </cell>
          <cell r="J1741">
            <v>0</v>
          </cell>
          <cell r="K1741">
            <v>0</v>
          </cell>
          <cell r="L1741">
            <v>0</v>
          </cell>
        </row>
        <row r="1742">
          <cell r="A1742">
            <v>3</v>
          </cell>
          <cell r="B1742">
            <v>9</v>
          </cell>
          <cell r="C1742">
            <v>190</v>
          </cell>
          <cell r="D1742">
            <v>86</v>
          </cell>
          <cell r="E1742" t="str">
            <v xml:space="preserve">    </v>
          </cell>
          <cell r="F1742" t="str">
            <v xml:space="preserve">   </v>
          </cell>
          <cell r="G1742">
            <v>3919086</v>
          </cell>
          <cell r="H1742">
            <v>297404.55</v>
          </cell>
          <cell r="I1742">
            <v>297404.55</v>
          </cell>
          <cell r="J1742">
            <v>0</v>
          </cell>
          <cell r="K1742">
            <v>0</v>
          </cell>
          <cell r="L1742">
            <v>0</v>
          </cell>
        </row>
        <row r="1743">
          <cell r="A1743">
            <v>4</v>
          </cell>
          <cell r="B1743">
            <v>9</v>
          </cell>
          <cell r="C1743">
            <v>190</v>
          </cell>
          <cell r="D1743">
            <v>86</v>
          </cell>
          <cell r="E1743" t="str">
            <v xml:space="preserve">    </v>
          </cell>
          <cell r="F1743" t="str">
            <v xml:space="preserve">   </v>
          </cell>
          <cell r="G1743">
            <v>4919086</v>
          </cell>
          <cell r="H1743">
            <v>308516.84999999998</v>
          </cell>
          <cell r="I1743">
            <v>308516.84999999998</v>
          </cell>
          <cell r="J1743">
            <v>0</v>
          </cell>
          <cell r="K1743">
            <v>0</v>
          </cell>
          <cell r="L1743">
            <v>0</v>
          </cell>
        </row>
        <row r="1744">
          <cell r="A1744">
            <v>5</v>
          </cell>
          <cell r="B1744">
            <v>9</v>
          </cell>
          <cell r="C1744">
            <v>190</v>
          </cell>
          <cell r="D1744">
            <v>86</v>
          </cell>
          <cell r="E1744" t="str">
            <v xml:space="preserve">    </v>
          </cell>
          <cell r="F1744" t="str">
            <v xml:space="preserve">   </v>
          </cell>
          <cell r="G1744">
            <v>5919086</v>
          </cell>
          <cell r="H1744">
            <v>298358.03999999998</v>
          </cell>
          <cell r="I1744">
            <v>298358.03999999998</v>
          </cell>
          <cell r="J1744">
            <v>0</v>
          </cell>
          <cell r="K1744">
            <v>0</v>
          </cell>
          <cell r="L1744">
            <v>0</v>
          </cell>
        </row>
        <row r="1745">
          <cell r="A1745">
            <v>3</v>
          </cell>
          <cell r="B1745">
            <v>9</v>
          </cell>
          <cell r="C1745">
            <v>190</v>
          </cell>
          <cell r="D1745">
            <v>88</v>
          </cell>
          <cell r="E1745" t="str">
            <v xml:space="preserve">    </v>
          </cell>
          <cell r="F1745" t="str">
            <v xml:space="preserve">   </v>
          </cell>
          <cell r="G1745">
            <v>3919088</v>
          </cell>
          <cell r="H1745">
            <v>976511.3</v>
          </cell>
          <cell r="I1745">
            <v>0</v>
          </cell>
          <cell r="J1745">
            <v>976511.3</v>
          </cell>
          <cell r="K1745">
            <v>0</v>
          </cell>
          <cell r="L1745">
            <v>0</v>
          </cell>
        </row>
        <row r="1746">
          <cell r="A1746">
            <v>4</v>
          </cell>
          <cell r="B1746">
            <v>9</v>
          </cell>
          <cell r="C1746">
            <v>190</v>
          </cell>
          <cell r="D1746">
            <v>88</v>
          </cell>
          <cell r="E1746" t="str">
            <v xml:space="preserve">    </v>
          </cell>
          <cell r="F1746" t="str">
            <v xml:space="preserve">   </v>
          </cell>
          <cell r="G1746">
            <v>4919088</v>
          </cell>
          <cell r="H1746">
            <v>364181.02</v>
          </cell>
          <cell r="I1746">
            <v>0</v>
          </cell>
          <cell r="J1746">
            <v>364181.02</v>
          </cell>
          <cell r="K1746">
            <v>0</v>
          </cell>
          <cell r="L1746">
            <v>0</v>
          </cell>
        </row>
        <row r="1747">
          <cell r="A1747">
            <v>5</v>
          </cell>
          <cell r="B1747">
            <v>9</v>
          </cell>
          <cell r="C1747">
            <v>190</v>
          </cell>
          <cell r="D1747">
            <v>88</v>
          </cell>
          <cell r="E1747" t="str">
            <v xml:space="preserve">    </v>
          </cell>
          <cell r="F1747" t="str">
            <v xml:space="preserve">   </v>
          </cell>
          <cell r="G1747">
            <v>5919088</v>
          </cell>
          <cell r="H1747">
            <v>845593.8</v>
          </cell>
          <cell r="I1747">
            <v>0</v>
          </cell>
          <cell r="J1747">
            <v>845593.8</v>
          </cell>
          <cell r="K1747">
            <v>0</v>
          </cell>
          <cell r="L1747">
            <v>0</v>
          </cell>
        </row>
        <row r="1748">
          <cell r="A1748">
            <v>3</v>
          </cell>
          <cell r="B1748">
            <v>9</v>
          </cell>
          <cell r="C1748">
            <v>252</v>
          </cell>
          <cell r="D1748">
            <v>10</v>
          </cell>
          <cell r="E1748" t="str">
            <v xml:space="preserve">    </v>
          </cell>
          <cell r="F1748" t="str">
            <v xml:space="preserve">   </v>
          </cell>
          <cell r="G1748">
            <v>3925210</v>
          </cell>
          <cell r="H1748">
            <v>-32592.44</v>
          </cell>
          <cell r="I1748">
            <v>-32592.44</v>
          </cell>
          <cell r="J1748">
            <v>0</v>
          </cell>
          <cell r="K1748">
            <v>0</v>
          </cell>
          <cell r="L1748">
            <v>0</v>
          </cell>
        </row>
        <row r="1749">
          <cell r="A1749">
            <v>4</v>
          </cell>
          <cell r="B1749">
            <v>9</v>
          </cell>
          <cell r="C1749">
            <v>252</v>
          </cell>
          <cell r="D1749">
            <v>10</v>
          </cell>
          <cell r="E1749" t="str">
            <v xml:space="preserve">    </v>
          </cell>
          <cell r="F1749" t="str">
            <v xml:space="preserve">   </v>
          </cell>
          <cell r="G1749">
            <v>4925210</v>
          </cell>
          <cell r="H1749">
            <v>-27080.34</v>
          </cell>
          <cell r="I1749">
            <v>-27080.34</v>
          </cell>
          <cell r="J1749">
            <v>0</v>
          </cell>
          <cell r="K1749">
            <v>0</v>
          </cell>
          <cell r="L1749">
            <v>0</v>
          </cell>
        </row>
        <row r="1750">
          <cell r="A1750">
            <v>5</v>
          </cell>
          <cell r="B1750">
            <v>9</v>
          </cell>
          <cell r="C1750">
            <v>252</v>
          </cell>
          <cell r="D1750">
            <v>10</v>
          </cell>
          <cell r="E1750" t="str">
            <v xml:space="preserve">    </v>
          </cell>
          <cell r="F1750" t="str">
            <v xml:space="preserve">   </v>
          </cell>
          <cell r="G1750">
            <v>5925210</v>
          </cell>
          <cell r="H1750">
            <v>-32359.08</v>
          </cell>
          <cell r="I1750">
            <v>-32359.08</v>
          </cell>
          <cell r="J1750">
            <v>0</v>
          </cell>
          <cell r="K1750">
            <v>0</v>
          </cell>
          <cell r="L1750">
            <v>0</v>
          </cell>
        </row>
        <row r="1751">
          <cell r="A1751">
            <v>3</v>
          </cell>
          <cell r="B1751">
            <v>9</v>
          </cell>
          <cell r="C1751">
            <v>252</v>
          </cell>
          <cell r="D1751">
            <v>20</v>
          </cell>
          <cell r="E1751" t="str">
            <v xml:space="preserve">    </v>
          </cell>
          <cell r="F1751" t="str">
            <v xml:space="preserve">   </v>
          </cell>
          <cell r="G1751">
            <v>3925220</v>
          </cell>
          <cell r="H1751">
            <v>-113.7</v>
          </cell>
          <cell r="I1751">
            <v>-3932.2</v>
          </cell>
          <cell r="J1751">
            <v>-2536</v>
          </cell>
          <cell r="K1751">
            <v>6354.5</v>
          </cell>
          <cell r="L1751">
            <v>0</v>
          </cell>
        </row>
        <row r="1752">
          <cell r="A1752">
            <v>4</v>
          </cell>
          <cell r="B1752">
            <v>9</v>
          </cell>
          <cell r="C1752">
            <v>252</v>
          </cell>
          <cell r="D1752">
            <v>20</v>
          </cell>
          <cell r="E1752" t="str">
            <v xml:space="preserve">    </v>
          </cell>
          <cell r="F1752" t="str">
            <v xml:space="preserve">   </v>
          </cell>
          <cell r="G1752">
            <v>4925220</v>
          </cell>
          <cell r="H1752">
            <v>-113.63</v>
          </cell>
          <cell r="I1752">
            <v>-3932.16</v>
          </cell>
          <cell r="J1752">
            <v>-2535.9499999999998</v>
          </cell>
          <cell r="K1752">
            <v>6354.48</v>
          </cell>
          <cell r="L1752">
            <v>0</v>
          </cell>
        </row>
        <row r="1753">
          <cell r="A1753">
            <v>5</v>
          </cell>
          <cell r="B1753">
            <v>9</v>
          </cell>
          <cell r="C1753">
            <v>252</v>
          </cell>
          <cell r="D1753">
            <v>20</v>
          </cell>
          <cell r="E1753" t="str">
            <v xml:space="preserve">    </v>
          </cell>
          <cell r="F1753" t="str">
            <v xml:space="preserve">   </v>
          </cell>
          <cell r="G1753">
            <v>5925220</v>
          </cell>
          <cell r="H1753">
            <v>-113.7</v>
          </cell>
          <cell r="I1753">
            <v>-3932.2</v>
          </cell>
          <cell r="J1753">
            <v>-2536</v>
          </cell>
          <cell r="K1753">
            <v>6354.5</v>
          </cell>
          <cell r="L1753">
            <v>0</v>
          </cell>
        </row>
        <row r="1754">
          <cell r="A1754">
            <v>3</v>
          </cell>
          <cell r="B1754">
            <v>9</v>
          </cell>
          <cell r="C1754">
            <v>252</v>
          </cell>
          <cell r="D1754">
            <v>30</v>
          </cell>
          <cell r="E1754" t="str">
            <v xml:space="preserve">    </v>
          </cell>
          <cell r="F1754" t="str">
            <v xml:space="preserve">   </v>
          </cell>
          <cell r="G1754">
            <v>3925230</v>
          </cell>
          <cell r="H1754">
            <v>-1793373.39</v>
          </cell>
          <cell r="I1754">
            <v>0</v>
          </cell>
          <cell r="J1754">
            <v>-1323899.3799999999</v>
          </cell>
          <cell r="K1754">
            <v>-469474.01</v>
          </cell>
          <cell r="L1754">
            <v>0</v>
          </cell>
        </row>
        <row r="1755">
          <cell r="A1755">
            <v>4</v>
          </cell>
          <cell r="B1755">
            <v>9</v>
          </cell>
          <cell r="C1755">
            <v>252</v>
          </cell>
          <cell r="D1755">
            <v>30</v>
          </cell>
          <cell r="E1755" t="str">
            <v xml:space="preserve">    </v>
          </cell>
          <cell r="F1755" t="str">
            <v xml:space="preserve">   </v>
          </cell>
          <cell r="G1755">
            <v>4925230</v>
          </cell>
          <cell r="H1755">
            <v>-1862111.66</v>
          </cell>
          <cell r="I1755">
            <v>0</v>
          </cell>
          <cell r="J1755">
            <v>-1343479.6</v>
          </cell>
          <cell r="K1755">
            <v>-518632.06</v>
          </cell>
          <cell r="L1755">
            <v>0</v>
          </cell>
        </row>
        <row r="1756">
          <cell r="A1756">
            <v>5</v>
          </cell>
          <cell r="B1756">
            <v>9</v>
          </cell>
          <cell r="C1756">
            <v>252</v>
          </cell>
          <cell r="D1756">
            <v>30</v>
          </cell>
          <cell r="E1756" t="str">
            <v xml:space="preserve">    </v>
          </cell>
          <cell r="F1756" t="str">
            <v xml:space="preserve">   </v>
          </cell>
          <cell r="G1756">
            <v>5925230</v>
          </cell>
          <cell r="H1756">
            <v>-1811240.88</v>
          </cell>
          <cell r="I1756">
            <v>0</v>
          </cell>
          <cell r="J1756">
            <v>-1324164.8799999999</v>
          </cell>
          <cell r="K1756">
            <v>-487076</v>
          </cell>
          <cell r="L1756">
            <v>0</v>
          </cell>
        </row>
        <row r="1757">
          <cell r="A1757">
            <v>3</v>
          </cell>
          <cell r="B1757">
            <v>9</v>
          </cell>
          <cell r="C1757">
            <v>252</v>
          </cell>
          <cell r="D1757">
            <v>40</v>
          </cell>
          <cell r="E1757" t="str">
            <v xml:space="preserve">    </v>
          </cell>
          <cell r="F1757" t="str">
            <v xml:space="preserve">   </v>
          </cell>
          <cell r="G1757">
            <v>3925240</v>
          </cell>
          <cell r="H1757">
            <v>-467683.48</v>
          </cell>
          <cell r="I1757">
            <v>0</v>
          </cell>
          <cell r="J1757">
            <v>-353592.02</v>
          </cell>
          <cell r="K1757">
            <v>-114091.46</v>
          </cell>
          <cell r="L1757">
            <v>0</v>
          </cell>
        </row>
        <row r="1758">
          <cell r="A1758">
            <v>4</v>
          </cell>
          <cell r="B1758">
            <v>9</v>
          </cell>
          <cell r="C1758">
            <v>252</v>
          </cell>
          <cell r="D1758">
            <v>40</v>
          </cell>
          <cell r="E1758" t="str">
            <v xml:space="preserve">    </v>
          </cell>
          <cell r="F1758" t="str">
            <v xml:space="preserve">   </v>
          </cell>
          <cell r="G1758">
            <v>4925240</v>
          </cell>
          <cell r="H1758">
            <v>-467683.31</v>
          </cell>
          <cell r="I1758">
            <v>0</v>
          </cell>
          <cell r="J1758">
            <v>-353591.87</v>
          </cell>
          <cell r="K1758">
            <v>-114091.44</v>
          </cell>
          <cell r="L1758">
            <v>0</v>
          </cell>
        </row>
        <row r="1759">
          <cell r="A1759">
            <v>5</v>
          </cell>
          <cell r="B1759">
            <v>9</v>
          </cell>
          <cell r="C1759">
            <v>252</v>
          </cell>
          <cell r="D1759">
            <v>40</v>
          </cell>
          <cell r="E1759" t="str">
            <v xml:space="preserve">    </v>
          </cell>
          <cell r="F1759" t="str">
            <v xml:space="preserve">   </v>
          </cell>
          <cell r="G1759">
            <v>5925240</v>
          </cell>
          <cell r="H1759">
            <v>-467683.48</v>
          </cell>
          <cell r="I1759">
            <v>0</v>
          </cell>
          <cell r="J1759">
            <v>-353592.02</v>
          </cell>
          <cell r="K1759">
            <v>-114091.46</v>
          </cell>
          <cell r="L1759">
            <v>0</v>
          </cell>
        </row>
        <row r="1760">
          <cell r="A1760">
            <v>3</v>
          </cell>
          <cell r="B1760">
            <v>9</v>
          </cell>
          <cell r="C1760">
            <v>253</v>
          </cell>
          <cell r="D1760">
            <v>38</v>
          </cell>
          <cell r="E1760" t="str">
            <v xml:space="preserve">    </v>
          </cell>
          <cell r="F1760" t="str">
            <v xml:space="preserve">   </v>
          </cell>
          <cell r="G1760">
            <v>3925338</v>
          </cell>
          <cell r="H1760">
            <v>-118049</v>
          </cell>
          <cell r="I1760">
            <v>0</v>
          </cell>
          <cell r="J1760">
            <v>0</v>
          </cell>
          <cell r="K1760">
            <v>-118049</v>
          </cell>
          <cell r="L1760">
            <v>0</v>
          </cell>
        </row>
        <row r="1761">
          <cell r="A1761">
            <v>4</v>
          </cell>
          <cell r="B1761">
            <v>9</v>
          </cell>
          <cell r="C1761">
            <v>253</v>
          </cell>
          <cell r="D1761">
            <v>38</v>
          </cell>
          <cell r="E1761" t="str">
            <v xml:space="preserve">    </v>
          </cell>
          <cell r="F1761" t="str">
            <v xml:space="preserve">   </v>
          </cell>
          <cell r="G1761">
            <v>4925338</v>
          </cell>
          <cell r="H1761">
            <v>-3631226.67</v>
          </cell>
          <cell r="I1761">
            <v>0</v>
          </cell>
          <cell r="J1761">
            <v>0</v>
          </cell>
          <cell r="K1761">
            <v>-3631226.67</v>
          </cell>
          <cell r="L1761">
            <v>0</v>
          </cell>
        </row>
        <row r="1762">
          <cell r="A1762">
            <v>5</v>
          </cell>
          <cell r="B1762">
            <v>9</v>
          </cell>
          <cell r="C1762">
            <v>253</v>
          </cell>
          <cell r="D1762">
            <v>38</v>
          </cell>
          <cell r="E1762" t="str">
            <v xml:space="preserve">    </v>
          </cell>
          <cell r="F1762" t="str">
            <v xml:space="preserve">   </v>
          </cell>
          <cell r="G1762">
            <v>5925338</v>
          </cell>
          <cell r="H1762">
            <v>-1894390.5</v>
          </cell>
          <cell r="I1762">
            <v>0</v>
          </cell>
          <cell r="J1762">
            <v>0</v>
          </cell>
          <cell r="K1762">
            <v>-1894390.5</v>
          </cell>
          <cell r="L1762">
            <v>0</v>
          </cell>
        </row>
        <row r="1763">
          <cell r="A1763">
            <v>3</v>
          </cell>
          <cell r="B1763">
            <v>9</v>
          </cell>
          <cell r="C1763">
            <v>253</v>
          </cell>
          <cell r="D1763">
            <v>85</v>
          </cell>
          <cell r="E1763" t="str">
            <v xml:space="preserve">    </v>
          </cell>
          <cell r="F1763" t="str">
            <v xml:space="preserve">   </v>
          </cell>
          <cell r="G1763">
            <v>3925385</v>
          </cell>
          <cell r="H1763">
            <v>-2549196</v>
          </cell>
          <cell r="I1763">
            <v>-2549196</v>
          </cell>
          <cell r="J1763">
            <v>0</v>
          </cell>
          <cell r="K1763">
            <v>0</v>
          </cell>
          <cell r="L1763">
            <v>0</v>
          </cell>
        </row>
        <row r="1764">
          <cell r="A1764">
            <v>4</v>
          </cell>
          <cell r="B1764">
            <v>9</v>
          </cell>
          <cell r="C1764">
            <v>253</v>
          </cell>
          <cell r="D1764">
            <v>85</v>
          </cell>
          <cell r="E1764" t="str">
            <v xml:space="preserve">    </v>
          </cell>
          <cell r="F1764" t="str">
            <v xml:space="preserve">   </v>
          </cell>
          <cell r="G1764">
            <v>4925385</v>
          </cell>
          <cell r="H1764">
            <v>-2647242</v>
          </cell>
          <cell r="I1764">
            <v>-2647242</v>
          </cell>
          <cell r="J1764">
            <v>0</v>
          </cell>
          <cell r="K1764">
            <v>0</v>
          </cell>
          <cell r="L1764">
            <v>0</v>
          </cell>
        </row>
        <row r="1765">
          <cell r="A1765">
            <v>5</v>
          </cell>
          <cell r="B1765">
            <v>9</v>
          </cell>
          <cell r="C1765">
            <v>253</v>
          </cell>
          <cell r="D1765">
            <v>85</v>
          </cell>
          <cell r="E1765" t="str">
            <v xml:space="preserve">    </v>
          </cell>
          <cell r="F1765" t="str">
            <v xml:space="preserve">   </v>
          </cell>
          <cell r="G1765">
            <v>5925385</v>
          </cell>
          <cell r="H1765">
            <v>-2557366.5</v>
          </cell>
          <cell r="I1765">
            <v>-2557366.5</v>
          </cell>
          <cell r="J1765">
            <v>0</v>
          </cell>
          <cell r="K1765">
            <v>0</v>
          </cell>
          <cell r="L1765">
            <v>0</v>
          </cell>
        </row>
        <row r="1766">
          <cell r="A1766">
            <v>3</v>
          </cell>
          <cell r="B1766">
            <v>9</v>
          </cell>
          <cell r="C1766">
            <v>253</v>
          </cell>
          <cell r="D1766">
            <v>86</v>
          </cell>
          <cell r="E1766" t="str">
            <v xml:space="preserve">    </v>
          </cell>
          <cell r="F1766" t="str">
            <v xml:space="preserve">   </v>
          </cell>
          <cell r="G1766">
            <v>3925386</v>
          </cell>
          <cell r="H1766">
            <v>-849732</v>
          </cell>
          <cell r="I1766">
            <v>-849732</v>
          </cell>
          <cell r="J1766">
            <v>0</v>
          </cell>
          <cell r="K1766">
            <v>0</v>
          </cell>
          <cell r="L1766">
            <v>0</v>
          </cell>
        </row>
        <row r="1767">
          <cell r="A1767">
            <v>4</v>
          </cell>
          <cell r="B1767">
            <v>9</v>
          </cell>
          <cell r="C1767">
            <v>253</v>
          </cell>
          <cell r="D1767">
            <v>86</v>
          </cell>
          <cell r="E1767" t="str">
            <v xml:space="preserve">    </v>
          </cell>
          <cell r="F1767" t="str">
            <v xml:space="preserve">   </v>
          </cell>
          <cell r="G1767">
            <v>4925386</v>
          </cell>
          <cell r="H1767">
            <v>-882413.96</v>
          </cell>
          <cell r="I1767">
            <v>-882413.96</v>
          </cell>
          <cell r="J1767">
            <v>0</v>
          </cell>
          <cell r="K1767">
            <v>0</v>
          </cell>
          <cell r="L1767">
            <v>0</v>
          </cell>
        </row>
        <row r="1768">
          <cell r="A1768">
            <v>5</v>
          </cell>
          <cell r="B1768">
            <v>9</v>
          </cell>
          <cell r="C1768">
            <v>253</v>
          </cell>
          <cell r="D1768">
            <v>86</v>
          </cell>
          <cell r="E1768" t="str">
            <v xml:space="preserve">    </v>
          </cell>
          <cell r="F1768" t="str">
            <v xml:space="preserve">   </v>
          </cell>
          <cell r="G1768">
            <v>5925386</v>
          </cell>
          <cell r="H1768">
            <v>-852455.5</v>
          </cell>
          <cell r="I1768">
            <v>-852455.5</v>
          </cell>
          <cell r="J1768">
            <v>0</v>
          </cell>
          <cell r="K1768">
            <v>0</v>
          </cell>
          <cell r="L1768">
            <v>0</v>
          </cell>
        </row>
        <row r="1769">
          <cell r="A1769">
            <v>3</v>
          </cell>
          <cell r="B1769">
            <v>9</v>
          </cell>
          <cell r="C1769">
            <v>254</v>
          </cell>
          <cell r="D1769">
            <v>17</v>
          </cell>
          <cell r="E1769" t="str">
            <v xml:space="preserve">    </v>
          </cell>
          <cell r="F1769" t="str">
            <v xml:space="preserve">   </v>
          </cell>
          <cell r="G1769">
            <v>3925417</v>
          </cell>
          <cell r="H1769">
            <v>-730489</v>
          </cell>
          <cell r="I1769">
            <v>-730489</v>
          </cell>
          <cell r="J1769">
            <v>0</v>
          </cell>
          <cell r="K1769">
            <v>0</v>
          </cell>
          <cell r="L1769">
            <v>0</v>
          </cell>
        </row>
        <row r="1770">
          <cell r="A1770">
            <v>4</v>
          </cell>
          <cell r="B1770">
            <v>9</v>
          </cell>
          <cell r="C1770">
            <v>254</v>
          </cell>
          <cell r="D1770">
            <v>17</v>
          </cell>
          <cell r="E1770" t="str">
            <v xml:space="preserve">    </v>
          </cell>
          <cell r="F1770" t="str">
            <v xml:space="preserve">   </v>
          </cell>
          <cell r="G1770">
            <v>4925417</v>
          </cell>
          <cell r="H1770">
            <v>-730488.96</v>
          </cell>
          <cell r="I1770">
            <v>-730488.96</v>
          </cell>
          <cell r="J1770">
            <v>0</v>
          </cell>
          <cell r="K1770">
            <v>0</v>
          </cell>
          <cell r="L1770">
            <v>0</v>
          </cell>
        </row>
        <row r="1771">
          <cell r="A1771">
            <v>5</v>
          </cell>
          <cell r="B1771">
            <v>9</v>
          </cell>
          <cell r="C1771">
            <v>254</v>
          </cell>
          <cell r="D1771">
            <v>17</v>
          </cell>
          <cell r="E1771" t="str">
            <v xml:space="preserve">    </v>
          </cell>
          <cell r="F1771" t="str">
            <v xml:space="preserve">   </v>
          </cell>
          <cell r="G1771">
            <v>5925417</v>
          </cell>
          <cell r="H1771">
            <v>-730489</v>
          </cell>
          <cell r="I1771">
            <v>-730489</v>
          </cell>
          <cell r="J1771">
            <v>0</v>
          </cell>
          <cell r="K1771">
            <v>0</v>
          </cell>
          <cell r="L1771">
            <v>0</v>
          </cell>
        </row>
        <row r="1772">
          <cell r="A1772">
            <v>3</v>
          </cell>
          <cell r="B1772">
            <v>9</v>
          </cell>
          <cell r="C1772">
            <v>254</v>
          </cell>
          <cell r="D1772">
            <v>18</v>
          </cell>
          <cell r="E1772" t="str">
            <v xml:space="preserve">    </v>
          </cell>
          <cell r="F1772" t="str">
            <v xml:space="preserve">   </v>
          </cell>
          <cell r="G1772">
            <v>3925418</v>
          </cell>
          <cell r="H1772">
            <v>-626272</v>
          </cell>
          <cell r="I1772">
            <v>-626272</v>
          </cell>
          <cell r="J1772">
            <v>0</v>
          </cell>
          <cell r="K1772">
            <v>0</v>
          </cell>
          <cell r="L1772">
            <v>0</v>
          </cell>
        </row>
        <row r="1773">
          <cell r="A1773">
            <v>4</v>
          </cell>
          <cell r="B1773">
            <v>9</v>
          </cell>
          <cell r="C1773">
            <v>254</v>
          </cell>
          <cell r="D1773">
            <v>18</v>
          </cell>
          <cell r="E1773" t="str">
            <v xml:space="preserve">    </v>
          </cell>
          <cell r="F1773" t="str">
            <v xml:space="preserve">   </v>
          </cell>
          <cell r="G1773">
            <v>4925418</v>
          </cell>
          <cell r="H1773">
            <v>-626271.94999999995</v>
          </cell>
          <cell r="I1773">
            <v>-626271.94999999995</v>
          </cell>
          <cell r="J1773">
            <v>0</v>
          </cell>
          <cell r="K1773">
            <v>0</v>
          </cell>
          <cell r="L1773">
            <v>0</v>
          </cell>
        </row>
        <row r="1774">
          <cell r="A1774">
            <v>5</v>
          </cell>
          <cell r="B1774">
            <v>9</v>
          </cell>
          <cell r="C1774">
            <v>254</v>
          </cell>
          <cell r="D1774">
            <v>18</v>
          </cell>
          <cell r="E1774" t="str">
            <v xml:space="preserve">    </v>
          </cell>
          <cell r="F1774" t="str">
            <v xml:space="preserve">   </v>
          </cell>
          <cell r="G1774">
            <v>5925418</v>
          </cell>
          <cell r="H1774">
            <v>-626272</v>
          </cell>
          <cell r="I1774">
            <v>-626272</v>
          </cell>
          <cell r="J1774">
            <v>0</v>
          </cell>
          <cell r="K1774">
            <v>0</v>
          </cell>
          <cell r="L1774">
            <v>0</v>
          </cell>
        </row>
        <row r="1775">
          <cell r="A1775">
            <v>3</v>
          </cell>
          <cell r="B1775">
            <v>9</v>
          </cell>
          <cell r="C1775">
            <v>254</v>
          </cell>
          <cell r="D1775">
            <v>19</v>
          </cell>
          <cell r="E1775" t="str">
            <v xml:space="preserve">    </v>
          </cell>
          <cell r="F1775" t="str">
            <v xml:space="preserve">   </v>
          </cell>
          <cell r="G1775">
            <v>3925419</v>
          </cell>
          <cell r="H1775">
            <v>-459674</v>
          </cell>
          <cell r="I1775">
            <v>-459674</v>
          </cell>
          <cell r="J1775">
            <v>0</v>
          </cell>
          <cell r="K1775">
            <v>0</v>
          </cell>
          <cell r="L1775">
            <v>0</v>
          </cell>
        </row>
        <row r="1776">
          <cell r="A1776">
            <v>4</v>
          </cell>
          <cell r="B1776">
            <v>9</v>
          </cell>
          <cell r="C1776">
            <v>254</v>
          </cell>
          <cell r="D1776">
            <v>19</v>
          </cell>
          <cell r="E1776" t="str">
            <v xml:space="preserve">    </v>
          </cell>
          <cell r="F1776" t="str">
            <v xml:space="preserve">   </v>
          </cell>
          <cell r="G1776">
            <v>4925419</v>
          </cell>
          <cell r="H1776">
            <v>-459673.92</v>
          </cell>
          <cell r="I1776">
            <v>-459673.92</v>
          </cell>
          <cell r="J1776">
            <v>0</v>
          </cell>
          <cell r="K1776">
            <v>0</v>
          </cell>
          <cell r="L1776">
            <v>0</v>
          </cell>
        </row>
        <row r="1777">
          <cell r="A1777">
            <v>5</v>
          </cell>
          <cell r="B1777">
            <v>9</v>
          </cell>
          <cell r="C1777">
            <v>254</v>
          </cell>
          <cell r="D1777">
            <v>19</v>
          </cell>
          <cell r="E1777" t="str">
            <v xml:space="preserve">    </v>
          </cell>
          <cell r="F1777" t="str">
            <v xml:space="preserve">   </v>
          </cell>
          <cell r="G1777">
            <v>5925419</v>
          </cell>
          <cell r="H1777">
            <v>-459674</v>
          </cell>
          <cell r="I1777">
            <v>-459674</v>
          </cell>
          <cell r="J1777">
            <v>0</v>
          </cell>
          <cell r="K1777">
            <v>0</v>
          </cell>
          <cell r="L1777">
            <v>0</v>
          </cell>
        </row>
        <row r="1778">
          <cell r="A1778">
            <v>3</v>
          </cell>
          <cell r="B1778">
            <v>9</v>
          </cell>
          <cell r="C1778">
            <v>282</v>
          </cell>
          <cell r="D1778">
            <v>10</v>
          </cell>
          <cell r="E1778" t="str">
            <v xml:space="preserve">    </v>
          </cell>
          <cell r="F1778" t="str">
            <v xml:space="preserve">   </v>
          </cell>
          <cell r="G1778">
            <v>3928210</v>
          </cell>
          <cell r="H1778">
            <v>-159276</v>
          </cell>
          <cell r="I1778">
            <v>0</v>
          </cell>
          <cell r="J1778">
            <v>50569.47</v>
          </cell>
          <cell r="K1778">
            <v>-209845.47</v>
          </cell>
          <cell r="L1778">
            <v>0</v>
          </cell>
        </row>
        <row r="1779">
          <cell r="A1779">
            <v>4</v>
          </cell>
          <cell r="B1779">
            <v>9</v>
          </cell>
          <cell r="C1779">
            <v>282</v>
          </cell>
          <cell r="D1779">
            <v>10</v>
          </cell>
          <cell r="E1779" t="str">
            <v xml:space="preserve">    </v>
          </cell>
          <cell r="F1779" t="str">
            <v xml:space="preserve">   </v>
          </cell>
          <cell r="G1779">
            <v>4928210</v>
          </cell>
          <cell r="H1779">
            <v>-238913.84</v>
          </cell>
          <cell r="I1779">
            <v>0</v>
          </cell>
          <cell r="J1779">
            <v>50569.440000000002</v>
          </cell>
          <cell r="K1779">
            <v>-289483.40000000002</v>
          </cell>
          <cell r="L1779">
            <v>0</v>
          </cell>
        </row>
        <row r="1780">
          <cell r="A1780">
            <v>5</v>
          </cell>
          <cell r="B1780">
            <v>9</v>
          </cell>
          <cell r="C1780">
            <v>282</v>
          </cell>
          <cell r="D1780">
            <v>10</v>
          </cell>
          <cell r="E1780" t="str">
            <v xml:space="preserve">    </v>
          </cell>
          <cell r="F1780" t="str">
            <v xml:space="preserve">   </v>
          </cell>
          <cell r="G1780">
            <v>5928210</v>
          </cell>
          <cell r="H1780">
            <v>-165912.49</v>
          </cell>
          <cell r="I1780">
            <v>0</v>
          </cell>
          <cell r="J1780">
            <v>50569.46</v>
          </cell>
          <cell r="K1780">
            <v>-216481.96</v>
          </cell>
          <cell r="L1780">
            <v>0</v>
          </cell>
        </row>
        <row r="1781">
          <cell r="A1781">
            <v>3</v>
          </cell>
          <cell r="B1781">
            <v>9</v>
          </cell>
          <cell r="C1781">
            <v>282</v>
          </cell>
          <cell r="D1781">
            <v>40</v>
          </cell>
          <cell r="E1781" t="str">
            <v xml:space="preserve">    </v>
          </cell>
          <cell r="F1781" t="str">
            <v xml:space="preserve">   </v>
          </cell>
          <cell r="G1781">
            <v>3928240</v>
          </cell>
          <cell r="H1781">
            <v>-1777462.46</v>
          </cell>
          <cell r="I1781">
            <v>-1777462.46</v>
          </cell>
          <cell r="J1781">
            <v>0</v>
          </cell>
          <cell r="K1781">
            <v>0</v>
          </cell>
          <cell r="L1781">
            <v>0</v>
          </cell>
        </row>
        <row r="1782">
          <cell r="A1782">
            <v>4</v>
          </cell>
          <cell r="B1782">
            <v>9</v>
          </cell>
          <cell r="C1782">
            <v>282</v>
          </cell>
          <cell r="D1782">
            <v>40</v>
          </cell>
          <cell r="E1782" t="str">
            <v xml:space="preserve">    </v>
          </cell>
          <cell r="F1782" t="str">
            <v xml:space="preserve">   </v>
          </cell>
          <cell r="G1782">
            <v>4928240</v>
          </cell>
          <cell r="H1782">
            <v>-1576526.56</v>
          </cell>
          <cell r="I1782">
            <v>-1576526.56</v>
          </cell>
          <cell r="J1782">
            <v>0</v>
          </cell>
          <cell r="K1782">
            <v>0</v>
          </cell>
          <cell r="L1782">
            <v>0</v>
          </cell>
        </row>
        <row r="1783">
          <cell r="A1783">
            <v>5</v>
          </cell>
          <cell r="B1783">
            <v>9</v>
          </cell>
          <cell r="C1783">
            <v>282</v>
          </cell>
          <cell r="D1783">
            <v>40</v>
          </cell>
          <cell r="E1783" t="str">
            <v xml:space="preserve">    </v>
          </cell>
          <cell r="F1783" t="str">
            <v xml:space="preserve">   </v>
          </cell>
          <cell r="G1783">
            <v>5928240</v>
          </cell>
          <cell r="H1783">
            <v>-1764117.46</v>
          </cell>
          <cell r="I1783">
            <v>-1764117.46</v>
          </cell>
          <cell r="J1783">
            <v>0</v>
          </cell>
          <cell r="K1783">
            <v>0</v>
          </cell>
          <cell r="L1783">
            <v>0</v>
          </cell>
        </row>
        <row r="1784">
          <cell r="A1784">
            <v>3</v>
          </cell>
          <cell r="B1784">
            <v>9</v>
          </cell>
          <cell r="C1784">
            <v>282</v>
          </cell>
          <cell r="D1784">
            <v>41</v>
          </cell>
          <cell r="E1784" t="str">
            <v xml:space="preserve">    </v>
          </cell>
          <cell r="F1784" t="str">
            <v xml:space="preserve">   </v>
          </cell>
          <cell r="G1784">
            <v>3928241</v>
          </cell>
          <cell r="H1784">
            <v>-430395</v>
          </cell>
          <cell r="I1784">
            <v>-430395</v>
          </cell>
          <cell r="J1784">
            <v>0</v>
          </cell>
          <cell r="K1784">
            <v>0</v>
          </cell>
          <cell r="L1784">
            <v>0</v>
          </cell>
        </row>
        <row r="1785">
          <cell r="A1785">
            <v>4</v>
          </cell>
          <cell r="B1785">
            <v>9</v>
          </cell>
          <cell r="C1785">
            <v>282</v>
          </cell>
          <cell r="D1785">
            <v>41</v>
          </cell>
          <cell r="E1785" t="str">
            <v xml:space="preserve">    </v>
          </cell>
          <cell r="F1785" t="str">
            <v xml:space="preserve">   </v>
          </cell>
          <cell r="G1785">
            <v>4928241</v>
          </cell>
          <cell r="H1785">
            <v>-376458.23999999999</v>
          </cell>
          <cell r="I1785">
            <v>-376458.23999999999</v>
          </cell>
          <cell r="J1785">
            <v>0</v>
          </cell>
          <cell r="K1785">
            <v>0</v>
          </cell>
          <cell r="L1785">
            <v>0</v>
          </cell>
        </row>
        <row r="1786">
          <cell r="A1786">
            <v>5</v>
          </cell>
          <cell r="B1786">
            <v>9</v>
          </cell>
          <cell r="C1786">
            <v>282</v>
          </cell>
          <cell r="D1786">
            <v>41</v>
          </cell>
          <cell r="E1786" t="str">
            <v xml:space="preserve">    </v>
          </cell>
          <cell r="F1786" t="str">
            <v xml:space="preserve">   </v>
          </cell>
          <cell r="G1786">
            <v>5928241</v>
          </cell>
          <cell r="H1786">
            <v>-426285</v>
          </cell>
          <cell r="I1786">
            <v>-426285</v>
          </cell>
          <cell r="J1786">
            <v>0</v>
          </cell>
          <cell r="K1786">
            <v>0</v>
          </cell>
          <cell r="L1786">
            <v>0</v>
          </cell>
        </row>
        <row r="1787">
          <cell r="A1787">
            <v>3</v>
          </cell>
          <cell r="B1787">
            <v>9</v>
          </cell>
          <cell r="C1787">
            <v>282</v>
          </cell>
          <cell r="D1787">
            <v>42</v>
          </cell>
          <cell r="E1787" t="str">
            <v xml:space="preserve">    </v>
          </cell>
          <cell r="F1787" t="str">
            <v xml:space="preserve">   </v>
          </cell>
          <cell r="G1787">
            <v>3928242</v>
          </cell>
          <cell r="H1787">
            <v>-189332</v>
          </cell>
          <cell r="I1787">
            <v>-189332</v>
          </cell>
          <cell r="J1787">
            <v>0</v>
          </cell>
          <cell r="K1787">
            <v>0</v>
          </cell>
          <cell r="L1787">
            <v>0</v>
          </cell>
        </row>
        <row r="1788">
          <cell r="A1788">
            <v>4</v>
          </cell>
          <cell r="B1788">
            <v>9</v>
          </cell>
          <cell r="C1788">
            <v>282</v>
          </cell>
          <cell r="D1788">
            <v>42</v>
          </cell>
          <cell r="E1788" t="str">
            <v xml:space="preserve">    </v>
          </cell>
          <cell r="F1788" t="str">
            <v xml:space="preserve">   </v>
          </cell>
          <cell r="G1788">
            <v>4928242</v>
          </cell>
          <cell r="H1788">
            <v>-174690.28</v>
          </cell>
          <cell r="I1788">
            <v>-174690.28</v>
          </cell>
          <cell r="J1788">
            <v>0</v>
          </cell>
          <cell r="K1788">
            <v>0</v>
          </cell>
          <cell r="L1788">
            <v>0</v>
          </cell>
        </row>
        <row r="1789">
          <cell r="A1789">
            <v>5</v>
          </cell>
          <cell r="B1789">
            <v>9</v>
          </cell>
          <cell r="C1789">
            <v>282</v>
          </cell>
          <cell r="D1789">
            <v>42</v>
          </cell>
          <cell r="E1789" t="str">
            <v xml:space="preserve">    </v>
          </cell>
          <cell r="F1789" t="str">
            <v xml:space="preserve">   </v>
          </cell>
          <cell r="G1789">
            <v>5928242</v>
          </cell>
          <cell r="H1789">
            <v>-190607</v>
          </cell>
          <cell r="I1789">
            <v>-190607</v>
          </cell>
          <cell r="J1789">
            <v>0</v>
          </cell>
          <cell r="K1789">
            <v>0</v>
          </cell>
          <cell r="L1789">
            <v>0</v>
          </cell>
        </row>
        <row r="1790">
          <cell r="A1790">
            <v>3</v>
          </cell>
          <cell r="B1790">
            <v>9</v>
          </cell>
          <cell r="C1790">
            <v>282</v>
          </cell>
          <cell r="D1790">
            <v>47</v>
          </cell>
          <cell r="E1790" t="str">
            <v xml:space="preserve">    </v>
          </cell>
          <cell r="F1790" t="str">
            <v xml:space="preserve">   </v>
          </cell>
          <cell r="G1790">
            <v>3928247</v>
          </cell>
          <cell r="H1790">
            <v>-448853</v>
          </cell>
          <cell r="I1790">
            <v>-448853</v>
          </cell>
          <cell r="J1790">
            <v>0</v>
          </cell>
          <cell r="K1790">
            <v>0</v>
          </cell>
          <cell r="L1790">
            <v>0</v>
          </cell>
        </row>
        <row r="1791">
          <cell r="A1791">
            <v>4</v>
          </cell>
          <cell r="B1791">
            <v>9</v>
          </cell>
          <cell r="C1791">
            <v>282</v>
          </cell>
          <cell r="D1791">
            <v>47</v>
          </cell>
          <cell r="E1791" t="str">
            <v xml:space="preserve">    </v>
          </cell>
          <cell r="F1791" t="str">
            <v xml:space="preserve">   </v>
          </cell>
          <cell r="G1791">
            <v>4928247</v>
          </cell>
          <cell r="H1791">
            <v>-339251.41</v>
          </cell>
          <cell r="I1791">
            <v>-339251.41</v>
          </cell>
          <cell r="J1791">
            <v>0</v>
          </cell>
          <cell r="K1791">
            <v>0</v>
          </cell>
          <cell r="L1791">
            <v>0</v>
          </cell>
        </row>
        <row r="1792">
          <cell r="A1792">
            <v>5</v>
          </cell>
          <cell r="B1792">
            <v>9</v>
          </cell>
          <cell r="C1792">
            <v>282</v>
          </cell>
          <cell r="D1792">
            <v>47</v>
          </cell>
          <cell r="E1792" t="str">
            <v xml:space="preserve">    </v>
          </cell>
          <cell r="F1792" t="str">
            <v xml:space="preserve">   </v>
          </cell>
          <cell r="G1792">
            <v>5928247</v>
          </cell>
          <cell r="H1792">
            <v>-425531</v>
          </cell>
          <cell r="I1792">
            <v>-425531</v>
          </cell>
          <cell r="J1792">
            <v>0</v>
          </cell>
          <cell r="K1792">
            <v>0</v>
          </cell>
          <cell r="L1792">
            <v>0</v>
          </cell>
        </row>
        <row r="1793">
          <cell r="A1793">
            <v>3</v>
          </cell>
          <cell r="B1793">
            <v>9</v>
          </cell>
          <cell r="C1793">
            <v>282</v>
          </cell>
          <cell r="D1793">
            <v>48</v>
          </cell>
          <cell r="E1793" t="str">
            <v xml:space="preserve">    </v>
          </cell>
          <cell r="F1793" t="str">
            <v xml:space="preserve">   </v>
          </cell>
          <cell r="G1793">
            <v>3928248</v>
          </cell>
          <cell r="H1793">
            <v>-577</v>
          </cell>
          <cell r="I1793">
            <v>-577</v>
          </cell>
          <cell r="J1793">
            <v>0</v>
          </cell>
          <cell r="K1793">
            <v>0</v>
          </cell>
          <cell r="L1793">
            <v>0</v>
          </cell>
        </row>
        <row r="1794">
          <cell r="A1794">
            <v>4</v>
          </cell>
          <cell r="B1794">
            <v>9</v>
          </cell>
          <cell r="C1794">
            <v>282</v>
          </cell>
          <cell r="D1794">
            <v>48</v>
          </cell>
          <cell r="E1794" t="str">
            <v xml:space="preserve">    </v>
          </cell>
          <cell r="F1794" t="str">
            <v xml:space="preserve">   </v>
          </cell>
          <cell r="G1794">
            <v>4928248</v>
          </cell>
          <cell r="H1794">
            <v>1230.71</v>
          </cell>
          <cell r="I1794">
            <v>1230.71</v>
          </cell>
          <cell r="J1794">
            <v>0</v>
          </cell>
          <cell r="K1794">
            <v>0</v>
          </cell>
          <cell r="L1794">
            <v>0</v>
          </cell>
        </row>
        <row r="1795">
          <cell r="A1795">
            <v>5</v>
          </cell>
          <cell r="B1795">
            <v>9</v>
          </cell>
          <cell r="C1795">
            <v>282</v>
          </cell>
          <cell r="D1795">
            <v>48</v>
          </cell>
          <cell r="E1795" t="str">
            <v xml:space="preserve">    </v>
          </cell>
          <cell r="F1795" t="str">
            <v xml:space="preserve">   </v>
          </cell>
          <cell r="G1795">
            <v>5928248</v>
          </cell>
          <cell r="H1795">
            <v>-88.5</v>
          </cell>
          <cell r="I1795">
            <v>-88.5</v>
          </cell>
          <cell r="J1795">
            <v>0</v>
          </cell>
          <cell r="K1795">
            <v>0</v>
          </cell>
          <cell r="L1795">
            <v>0</v>
          </cell>
        </row>
        <row r="1796">
          <cell r="A1796">
            <v>3</v>
          </cell>
          <cell r="B1796">
            <v>9</v>
          </cell>
          <cell r="C1796">
            <v>282</v>
          </cell>
          <cell r="D1796">
            <v>49</v>
          </cell>
          <cell r="E1796" t="str">
            <v xml:space="preserve">    </v>
          </cell>
          <cell r="F1796" t="str">
            <v xml:space="preserve">   </v>
          </cell>
          <cell r="G1796">
            <v>3928249</v>
          </cell>
          <cell r="H1796">
            <v>-68614</v>
          </cell>
          <cell r="I1796">
            <v>-68614</v>
          </cell>
          <cell r="J1796">
            <v>0</v>
          </cell>
          <cell r="K1796">
            <v>0</v>
          </cell>
          <cell r="L1796">
            <v>0</v>
          </cell>
        </row>
        <row r="1797">
          <cell r="A1797">
            <v>4</v>
          </cell>
          <cell r="B1797">
            <v>9</v>
          </cell>
          <cell r="C1797">
            <v>282</v>
          </cell>
          <cell r="D1797">
            <v>49</v>
          </cell>
          <cell r="E1797" t="str">
            <v xml:space="preserve">    </v>
          </cell>
          <cell r="F1797" t="str">
            <v xml:space="preserve">   </v>
          </cell>
          <cell r="G1797">
            <v>4928249</v>
          </cell>
          <cell r="H1797">
            <v>-27759.07</v>
          </cell>
          <cell r="I1797">
            <v>-27759.07</v>
          </cell>
          <cell r="J1797">
            <v>0</v>
          </cell>
          <cell r="K1797">
            <v>0</v>
          </cell>
          <cell r="L1797">
            <v>0</v>
          </cell>
        </row>
        <row r="1798">
          <cell r="A1798">
            <v>5</v>
          </cell>
          <cell r="B1798">
            <v>9</v>
          </cell>
          <cell r="C1798">
            <v>282</v>
          </cell>
          <cell r="D1798">
            <v>49</v>
          </cell>
          <cell r="E1798" t="str">
            <v xml:space="preserve">    </v>
          </cell>
          <cell r="F1798" t="str">
            <v xml:space="preserve">   </v>
          </cell>
          <cell r="G1798">
            <v>5928249</v>
          </cell>
          <cell r="H1798">
            <v>-58782</v>
          </cell>
          <cell r="I1798">
            <v>-58782</v>
          </cell>
          <cell r="J1798">
            <v>0</v>
          </cell>
          <cell r="K1798">
            <v>0</v>
          </cell>
          <cell r="L1798">
            <v>0</v>
          </cell>
        </row>
        <row r="1799">
          <cell r="A1799">
            <v>3</v>
          </cell>
          <cell r="B1799">
            <v>9</v>
          </cell>
          <cell r="C1799">
            <v>282</v>
          </cell>
          <cell r="D1799">
            <v>68</v>
          </cell>
          <cell r="E1799" t="str">
            <v xml:space="preserve">    </v>
          </cell>
          <cell r="F1799" t="str">
            <v xml:space="preserve">   </v>
          </cell>
          <cell r="G1799">
            <v>3928268</v>
          </cell>
          <cell r="H1799">
            <v>-2085826.71</v>
          </cell>
          <cell r="I1799">
            <v>0</v>
          </cell>
          <cell r="J1799">
            <v>-2085826.71</v>
          </cell>
          <cell r="K1799">
            <v>0</v>
          </cell>
          <cell r="L1799">
            <v>0</v>
          </cell>
        </row>
        <row r="1800">
          <cell r="A1800">
            <v>4</v>
          </cell>
          <cell r="B1800">
            <v>9</v>
          </cell>
          <cell r="C1800">
            <v>282</v>
          </cell>
          <cell r="D1800">
            <v>68</v>
          </cell>
          <cell r="E1800" t="str">
            <v xml:space="preserve">    </v>
          </cell>
          <cell r="F1800" t="str">
            <v xml:space="preserve">   </v>
          </cell>
          <cell r="G1800">
            <v>4928268</v>
          </cell>
          <cell r="H1800">
            <v>-2145352.67</v>
          </cell>
          <cell r="I1800">
            <v>0</v>
          </cell>
          <cell r="J1800">
            <v>-2145352.67</v>
          </cell>
          <cell r="K1800">
            <v>0</v>
          </cell>
          <cell r="L1800">
            <v>0</v>
          </cell>
        </row>
        <row r="1801">
          <cell r="A1801">
            <v>5</v>
          </cell>
          <cell r="B1801">
            <v>9</v>
          </cell>
          <cell r="C1801">
            <v>282</v>
          </cell>
          <cell r="D1801">
            <v>68</v>
          </cell>
          <cell r="E1801" t="str">
            <v xml:space="preserve">    </v>
          </cell>
          <cell r="F1801" t="str">
            <v xml:space="preserve">   </v>
          </cell>
          <cell r="G1801">
            <v>5928268</v>
          </cell>
          <cell r="H1801">
            <v>-2090787.2</v>
          </cell>
          <cell r="I1801">
            <v>0</v>
          </cell>
          <cell r="J1801">
            <v>-2090787.2</v>
          </cell>
          <cell r="K1801">
            <v>0</v>
          </cell>
          <cell r="L1801">
            <v>0</v>
          </cell>
        </row>
        <row r="1802">
          <cell r="A1802">
            <v>3</v>
          </cell>
          <cell r="B1802">
            <v>9</v>
          </cell>
          <cell r="C1802">
            <v>282</v>
          </cell>
          <cell r="D1802">
            <v>78</v>
          </cell>
          <cell r="E1802" t="str">
            <v xml:space="preserve">    </v>
          </cell>
          <cell r="F1802" t="str">
            <v xml:space="preserve">   </v>
          </cell>
          <cell r="G1802">
            <v>3928278</v>
          </cell>
          <cell r="H1802">
            <v>-381303</v>
          </cell>
          <cell r="I1802">
            <v>0</v>
          </cell>
          <cell r="J1802">
            <v>0</v>
          </cell>
          <cell r="K1802">
            <v>-381303</v>
          </cell>
          <cell r="L1802">
            <v>0</v>
          </cell>
        </row>
        <row r="1803">
          <cell r="A1803">
            <v>4</v>
          </cell>
          <cell r="B1803">
            <v>9</v>
          </cell>
          <cell r="C1803">
            <v>282</v>
          </cell>
          <cell r="D1803">
            <v>78</v>
          </cell>
          <cell r="E1803" t="str">
            <v xml:space="preserve">    </v>
          </cell>
          <cell r="F1803" t="str">
            <v xml:space="preserve">   </v>
          </cell>
          <cell r="G1803">
            <v>4928278</v>
          </cell>
          <cell r="H1803">
            <v>-393143.25</v>
          </cell>
          <cell r="I1803">
            <v>0</v>
          </cell>
          <cell r="J1803">
            <v>0</v>
          </cell>
          <cell r="K1803">
            <v>-393143.25</v>
          </cell>
          <cell r="L1803">
            <v>0</v>
          </cell>
        </row>
        <row r="1804">
          <cell r="A1804">
            <v>5</v>
          </cell>
          <cell r="B1804">
            <v>9</v>
          </cell>
          <cell r="C1804">
            <v>282</v>
          </cell>
          <cell r="D1804">
            <v>78</v>
          </cell>
          <cell r="E1804" t="str">
            <v xml:space="preserve">    </v>
          </cell>
          <cell r="F1804" t="str">
            <v xml:space="preserve">   </v>
          </cell>
          <cell r="G1804">
            <v>5928278</v>
          </cell>
          <cell r="H1804">
            <v>-382289</v>
          </cell>
          <cell r="I1804">
            <v>0</v>
          </cell>
          <cell r="J1804">
            <v>0</v>
          </cell>
          <cell r="K1804">
            <v>-382289</v>
          </cell>
          <cell r="L1804">
            <v>0</v>
          </cell>
        </row>
        <row r="1805">
          <cell r="A1805">
            <v>3</v>
          </cell>
          <cell r="B1805">
            <v>9</v>
          </cell>
          <cell r="C1805">
            <v>282</v>
          </cell>
          <cell r="D1805">
            <v>90</v>
          </cell>
          <cell r="E1805" t="str">
            <v xml:space="preserve">    </v>
          </cell>
          <cell r="F1805" t="str">
            <v xml:space="preserve">   </v>
          </cell>
          <cell r="G1805">
            <v>3928290</v>
          </cell>
          <cell r="H1805">
            <v>-148989930.13999999</v>
          </cell>
          <cell r="I1805">
            <v>-148989930.13999999</v>
          </cell>
          <cell r="J1805">
            <v>0</v>
          </cell>
          <cell r="K1805">
            <v>0</v>
          </cell>
          <cell r="L1805">
            <v>0</v>
          </cell>
        </row>
        <row r="1806">
          <cell r="A1806">
            <v>4</v>
          </cell>
          <cell r="B1806">
            <v>9</v>
          </cell>
          <cell r="C1806">
            <v>282</v>
          </cell>
          <cell r="D1806">
            <v>90</v>
          </cell>
          <cell r="E1806" t="str">
            <v xml:space="preserve">    </v>
          </cell>
          <cell r="F1806" t="str">
            <v xml:space="preserve">   </v>
          </cell>
          <cell r="G1806">
            <v>4928290</v>
          </cell>
          <cell r="H1806">
            <v>-146157324.69999999</v>
          </cell>
          <cell r="I1806">
            <v>-146157324.69999999</v>
          </cell>
          <cell r="J1806">
            <v>0</v>
          </cell>
          <cell r="K1806">
            <v>0</v>
          </cell>
          <cell r="L1806">
            <v>0</v>
          </cell>
        </row>
        <row r="1807">
          <cell r="A1807">
            <v>5</v>
          </cell>
          <cell r="B1807">
            <v>9</v>
          </cell>
          <cell r="C1807">
            <v>282</v>
          </cell>
          <cell r="D1807">
            <v>90</v>
          </cell>
          <cell r="E1807" t="str">
            <v xml:space="preserve">    </v>
          </cell>
          <cell r="F1807" t="str">
            <v xml:space="preserve">   </v>
          </cell>
          <cell r="G1807">
            <v>5928290</v>
          </cell>
          <cell r="H1807">
            <v>-148712028.65000001</v>
          </cell>
          <cell r="I1807">
            <v>-148712028.65000001</v>
          </cell>
          <cell r="J1807">
            <v>0</v>
          </cell>
          <cell r="K1807">
            <v>0</v>
          </cell>
          <cell r="L1807">
            <v>0</v>
          </cell>
        </row>
        <row r="1808">
          <cell r="A1808">
            <v>3</v>
          </cell>
          <cell r="B1808">
            <v>9</v>
          </cell>
          <cell r="C1808">
            <v>282</v>
          </cell>
          <cell r="D1808">
            <v>91</v>
          </cell>
          <cell r="E1808" t="str">
            <v xml:space="preserve">    </v>
          </cell>
          <cell r="F1808" t="str">
            <v xml:space="preserve">   </v>
          </cell>
          <cell r="G1808">
            <v>3928291</v>
          </cell>
          <cell r="H1808">
            <v>-14205602.529999999</v>
          </cell>
          <cell r="I1808">
            <v>-14205602.529999999</v>
          </cell>
          <cell r="J1808">
            <v>0</v>
          </cell>
          <cell r="K1808">
            <v>0</v>
          </cell>
          <cell r="L1808">
            <v>0</v>
          </cell>
        </row>
        <row r="1809">
          <cell r="A1809">
            <v>4</v>
          </cell>
          <cell r="B1809">
            <v>9</v>
          </cell>
          <cell r="C1809">
            <v>282</v>
          </cell>
          <cell r="D1809">
            <v>91</v>
          </cell>
          <cell r="E1809" t="str">
            <v xml:space="preserve">    </v>
          </cell>
          <cell r="F1809" t="str">
            <v xml:space="preserve">   </v>
          </cell>
          <cell r="G1809">
            <v>4928291</v>
          </cell>
          <cell r="H1809">
            <v>-13216097.970000001</v>
          </cell>
          <cell r="I1809">
            <v>-13216097.970000001</v>
          </cell>
          <cell r="J1809">
            <v>0</v>
          </cell>
          <cell r="K1809">
            <v>0</v>
          </cell>
          <cell r="L1809">
            <v>0</v>
          </cell>
        </row>
        <row r="1810">
          <cell r="A1810">
            <v>5</v>
          </cell>
          <cell r="B1810">
            <v>9</v>
          </cell>
          <cell r="C1810">
            <v>282</v>
          </cell>
          <cell r="D1810">
            <v>91</v>
          </cell>
          <cell r="E1810" t="str">
            <v xml:space="preserve">    </v>
          </cell>
          <cell r="F1810" t="str">
            <v xml:space="preserve">   </v>
          </cell>
          <cell r="G1810">
            <v>5928291</v>
          </cell>
          <cell r="H1810">
            <v>-14127449.02</v>
          </cell>
          <cell r="I1810">
            <v>-14127449.02</v>
          </cell>
          <cell r="J1810">
            <v>0</v>
          </cell>
          <cell r="K1810">
            <v>0</v>
          </cell>
          <cell r="L1810">
            <v>0</v>
          </cell>
        </row>
        <row r="1811">
          <cell r="A1811">
            <v>3</v>
          </cell>
          <cell r="B1811">
            <v>9</v>
          </cell>
          <cell r="C1811">
            <v>282</v>
          </cell>
          <cell r="D1811">
            <v>92</v>
          </cell>
          <cell r="E1811" t="str">
            <v xml:space="preserve">    </v>
          </cell>
          <cell r="F1811" t="str">
            <v xml:space="preserve">   </v>
          </cell>
          <cell r="G1811">
            <v>3928292</v>
          </cell>
          <cell r="H1811">
            <v>-5788992.2800000003</v>
          </cell>
          <cell r="I1811">
            <v>-5788992.2800000003</v>
          </cell>
          <cell r="J1811">
            <v>0</v>
          </cell>
          <cell r="K1811">
            <v>0</v>
          </cell>
          <cell r="L1811">
            <v>0</v>
          </cell>
        </row>
        <row r="1812">
          <cell r="A1812">
            <v>4</v>
          </cell>
          <cell r="B1812">
            <v>9</v>
          </cell>
          <cell r="C1812">
            <v>282</v>
          </cell>
          <cell r="D1812">
            <v>92</v>
          </cell>
          <cell r="E1812" t="str">
            <v xml:space="preserve">    </v>
          </cell>
          <cell r="F1812" t="str">
            <v xml:space="preserve">   </v>
          </cell>
          <cell r="G1812">
            <v>4928292</v>
          </cell>
          <cell r="H1812">
            <v>-5177698.07</v>
          </cell>
          <cell r="I1812">
            <v>-5177698.07</v>
          </cell>
          <cell r="J1812">
            <v>0</v>
          </cell>
          <cell r="K1812">
            <v>0</v>
          </cell>
          <cell r="L1812">
            <v>0</v>
          </cell>
        </row>
        <row r="1813">
          <cell r="A1813">
            <v>5</v>
          </cell>
          <cell r="B1813">
            <v>9</v>
          </cell>
          <cell r="C1813">
            <v>282</v>
          </cell>
          <cell r="D1813">
            <v>92</v>
          </cell>
          <cell r="E1813" t="str">
            <v xml:space="preserve">    </v>
          </cell>
          <cell r="F1813" t="str">
            <v xml:space="preserve">   </v>
          </cell>
          <cell r="G1813">
            <v>5928292</v>
          </cell>
          <cell r="H1813">
            <v>-5732697.2800000003</v>
          </cell>
          <cell r="I1813">
            <v>-5732697.2800000003</v>
          </cell>
          <cell r="J1813">
            <v>0</v>
          </cell>
          <cell r="K1813">
            <v>0</v>
          </cell>
          <cell r="L1813">
            <v>0</v>
          </cell>
        </row>
        <row r="1814">
          <cell r="A1814">
            <v>3</v>
          </cell>
          <cell r="B1814">
            <v>9</v>
          </cell>
          <cell r="C1814">
            <v>282</v>
          </cell>
          <cell r="D1814">
            <v>97</v>
          </cell>
          <cell r="E1814" t="str">
            <v xml:space="preserve">    </v>
          </cell>
          <cell r="F1814" t="str">
            <v xml:space="preserve">   </v>
          </cell>
          <cell r="G1814">
            <v>3928297</v>
          </cell>
          <cell r="H1814">
            <v>-7270936.8399999999</v>
          </cell>
          <cell r="I1814">
            <v>-7270936.8399999999</v>
          </cell>
          <cell r="J1814">
            <v>0</v>
          </cell>
          <cell r="K1814">
            <v>0</v>
          </cell>
          <cell r="L1814">
            <v>0</v>
          </cell>
        </row>
        <row r="1815">
          <cell r="A1815">
            <v>4</v>
          </cell>
          <cell r="B1815">
            <v>9</v>
          </cell>
          <cell r="C1815">
            <v>282</v>
          </cell>
          <cell r="D1815">
            <v>97</v>
          </cell>
          <cell r="E1815" t="str">
            <v xml:space="preserve">    </v>
          </cell>
          <cell r="F1815" t="str">
            <v xml:space="preserve">   </v>
          </cell>
          <cell r="G1815">
            <v>4928297</v>
          </cell>
          <cell r="H1815">
            <v>-6973976.2800000003</v>
          </cell>
          <cell r="I1815">
            <v>-6973976.2800000003</v>
          </cell>
          <cell r="J1815">
            <v>0</v>
          </cell>
          <cell r="K1815">
            <v>0</v>
          </cell>
          <cell r="L1815">
            <v>0</v>
          </cell>
        </row>
        <row r="1816">
          <cell r="A1816">
            <v>5</v>
          </cell>
          <cell r="B1816">
            <v>9</v>
          </cell>
          <cell r="C1816">
            <v>282</v>
          </cell>
          <cell r="D1816">
            <v>97</v>
          </cell>
          <cell r="E1816" t="str">
            <v xml:space="preserve">    </v>
          </cell>
          <cell r="F1816" t="str">
            <v xml:space="preserve">   </v>
          </cell>
          <cell r="G1816">
            <v>5928297</v>
          </cell>
          <cell r="H1816">
            <v>-7268040.8399999999</v>
          </cell>
          <cell r="I1816">
            <v>-7268040.8399999999</v>
          </cell>
          <cell r="J1816">
            <v>0</v>
          </cell>
          <cell r="K1816">
            <v>0</v>
          </cell>
          <cell r="L1816">
            <v>0</v>
          </cell>
        </row>
        <row r="1817">
          <cell r="A1817">
            <v>3</v>
          </cell>
          <cell r="B1817">
            <v>9</v>
          </cell>
          <cell r="C1817">
            <v>282</v>
          </cell>
          <cell r="D1817">
            <v>98</v>
          </cell>
          <cell r="E1817" t="str">
            <v xml:space="preserve">    </v>
          </cell>
          <cell r="F1817" t="str">
            <v xml:space="preserve">   </v>
          </cell>
          <cell r="G1817">
            <v>3928298</v>
          </cell>
          <cell r="H1817">
            <v>-18350.21</v>
          </cell>
          <cell r="I1817">
            <v>-18350.21</v>
          </cell>
          <cell r="J1817">
            <v>0</v>
          </cell>
          <cell r="K1817">
            <v>0</v>
          </cell>
          <cell r="L1817">
            <v>0</v>
          </cell>
        </row>
        <row r="1818">
          <cell r="A1818">
            <v>4</v>
          </cell>
          <cell r="B1818">
            <v>9</v>
          </cell>
          <cell r="C1818">
            <v>282</v>
          </cell>
          <cell r="D1818">
            <v>98</v>
          </cell>
          <cell r="E1818" t="str">
            <v xml:space="preserve">    </v>
          </cell>
          <cell r="F1818" t="str">
            <v xml:space="preserve">   </v>
          </cell>
          <cell r="G1818">
            <v>4928298</v>
          </cell>
          <cell r="H1818">
            <v>-7569.72</v>
          </cell>
          <cell r="I1818">
            <v>-7569.72</v>
          </cell>
          <cell r="J1818">
            <v>0</v>
          </cell>
          <cell r="K1818">
            <v>0</v>
          </cell>
          <cell r="L1818">
            <v>0</v>
          </cell>
        </row>
        <row r="1819">
          <cell r="A1819">
            <v>5</v>
          </cell>
          <cell r="B1819">
            <v>9</v>
          </cell>
          <cell r="C1819">
            <v>282</v>
          </cell>
          <cell r="D1819">
            <v>98</v>
          </cell>
          <cell r="E1819" t="str">
            <v xml:space="preserve">    </v>
          </cell>
          <cell r="F1819" t="str">
            <v xml:space="preserve">   </v>
          </cell>
          <cell r="G1819">
            <v>5928298</v>
          </cell>
          <cell r="H1819">
            <v>-15431.7</v>
          </cell>
          <cell r="I1819">
            <v>-15431.7</v>
          </cell>
          <cell r="J1819">
            <v>0</v>
          </cell>
          <cell r="K1819">
            <v>0</v>
          </cell>
          <cell r="L1819">
            <v>0</v>
          </cell>
        </row>
        <row r="1820">
          <cell r="A1820">
            <v>3</v>
          </cell>
          <cell r="B1820">
            <v>9</v>
          </cell>
          <cell r="C1820">
            <v>282</v>
          </cell>
          <cell r="D1820">
            <v>99</v>
          </cell>
          <cell r="E1820" t="str">
            <v xml:space="preserve">    </v>
          </cell>
          <cell r="F1820" t="str">
            <v xml:space="preserve">   </v>
          </cell>
          <cell r="G1820">
            <v>3928299</v>
          </cell>
          <cell r="H1820">
            <v>-1693011.39</v>
          </cell>
          <cell r="I1820">
            <v>-1693011.39</v>
          </cell>
          <cell r="J1820">
            <v>0</v>
          </cell>
          <cell r="K1820">
            <v>0</v>
          </cell>
          <cell r="L1820">
            <v>0</v>
          </cell>
        </row>
        <row r="1821">
          <cell r="A1821">
            <v>4</v>
          </cell>
          <cell r="B1821">
            <v>9</v>
          </cell>
          <cell r="C1821">
            <v>282</v>
          </cell>
          <cell r="D1821">
            <v>99</v>
          </cell>
          <cell r="E1821" t="str">
            <v xml:space="preserve">    </v>
          </cell>
          <cell r="F1821" t="str">
            <v xml:space="preserve">   </v>
          </cell>
          <cell r="G1821">
            <v>4928299</v>
          </cell>
          <cell r="H1821">
            <v>-1423131.97</v>
          </cell>
          <cell r="I1821">
            <v>-1423131.97</v>
          </cell>
          <cell r="J1821">
            <v>0</v>
          </cell>
          <cell r="K1821">
            <v>0</v>
          </cell>
          <cell r="L1821">
            <v>0</v>
          </cell>
        </row>
        <row r="1822">
          <cell r="A1822">
            <v>5</v>
          </cell>
          <cell r="B1822">
            <v>9</v>
          </cell>
          <cell r="C1822">
            <v>282</v>
          </cell>
          <cell r="D1822">
            <v>99</v>
          </cell>
          <cell r="E1822" t="str">
            <v xml:space="preserve">    </v>
          </cell>
          <cell r="F1822" t="str">
            <v xml:space="preserve">   </v>
          </cell>
          <cell r="G1822">
            <v>5928299</v>
          </cell>
          <cell r="H1822">
            <v>-1631503.38</v>
          </cell>
          <cell r="I1822">
            <v>-1631503.38</v>
          </cell>
          <cell r="J1822">
            <v>0</v>
          </cell>
          <cell r="K1822">
            <v>0</v>
          </cell>
          <cell r="L1822">
            <v>0</v>
          </cell>
        </row>
        <row r="1823">
          <cell r="A1823">
            <v>3</v>
          </cell>
          <cell r="B1823">
            <v>9</v>
          </cell>
          <cell r="C1823">
            <v>283</v>
          </cell>
          <cell r="D1823">
            <v>10</v>
          </cell>
          <cell r="E1823" t="str">
            <v xml:space="preserve">    </v>
          </cell>
          <cell r="F1823" t="str">
            <v xml:space="preserve">   </v>
          </cell>
          <cell r="G1823">
            <v>3928310</v>
          </cell>
          <cell r="H1823">
            <v>122500</v>
          </cell>
          <cell r="I1823">
            <v>122500</v>
          </cell>
          <cell r="J1823">
            <v>0</v>
          </cell>
          <cell r="K1823">
            <v>0</v>
          </cell>
          <cell r="L1823">
            <v>0</v>
          </cell>
        </row>
        <row r="1824">
          <cell r="A1824">
            <v>4</v>
          </cell>
          <cell r="B1824">
            <v>9</v>
          </cell>
          <cell r="C1824">
            <v>283</v>
          </cell>
          <cell r="D1824">
            <v>10</v>
          </cell>
          <cell r="E1824" t="str">
            <v xml:space="preserve">    </v>
          </cell>
          <cell r="F1824" t="str">
            <v xml:space="preserve">   </v>
          </cell>
          <cell r="G1824">
            <v>4928310</v>
          </cell>
          <cell r="H1824">
            <v>122499.95</v>
          </cell>
          <cell r="I1824">
            <v>122499.95</v>
          </cell>
          <cell r="J1824">
            <v>0</v>
          </cell>
          <cell r="K1824">
            <v>0</v>
          </cell>
          <cell r="L1824">
            <v>0</v>
          </cell>
        </row>
        <row r="1825">
          <cell r="A1825">
            <v>5</v>
          </cell>
          <cell r="B1825">
            <v>9</v>
          </cell>
          <cell r="C1825">
            <v>283</v>
          </cell>
          <cell r="D1825">
            <v>10</v>
          </cell>
          <cell r="E1825" t="str">
            <v xml:space="preserve">    </v>
          </cell>
          <cell r="F1825" t="str">
            <v xml:space="preserve">   </v>
          </cell>
          <cell r="G1825">
            <v>5928310</v>
          </cell>
          <cell r="H1825">
            <v>122500</v>
          </cell>
          <cell r="I1825">
            <v>122500</v>
          </cell>
          <cell r="J1825">
            <v>0</v>
          </cell>
          <cell r="K1825">
            <v>0</v>
          </cell>
          <cell r="L1825">
            <v>0</v>
          </cell>
        </row>
        <row r="1826">
          <cell r="A1826">
            <v>3</v>
          </cell>
          <cell r="B1826">
            <v>9</v>
          </cell>
          <cell r="C1826">
            <v>283</v>
          </cell>
          <cell r="D1826">
            <v>15</v>
          </cell>
          <cell r="E1826" t="str">
            <v xml:space="preserve">    </v>
          </cell>
          <cell r="F1826" t="str">
            <v xml:space="preserve">   </v>
          </cell>
          <cell r="G1826">
            <v>3928315</v>
          </cell>
          <cell r="H1826">
            <v>-1015027</v>
          </cell>
          <cell r="I1826">
            <v>-1015027</v>
          </cell>
          <cell r="J1826">
            <v>0</v>
          </cell>
          <cell r="K1826">
            <v>0</v>
          </cell>
          <cell r="L1826">
            <v>0</v>
          </cell>
        </row>
        <row r="1827">
          <cell r="A1827">
            <v>4</v>
          </cell>
          <cell r="B1827">
            <v>9</v>
          </cell>
          <cell r="C1827">
            <v>283</v>
          </cell>
          <cell r="D1827">
            <v>15</v>
          </cell>
          <cell r="E1827" t="str">
            <v xml:space="preserve">    </v>
          </cell>
          <cell r="F1827" t="str">
            <v xml:space="preserve">   </v>
          </cell>
          <cell r="G1827">
            <v>4928315</v>
          </cell>
          <cell r="H1827">
            <v>-1137867.08</v>
          </cell>
          <cell r="I1827">
            <v>-1137867.08</v>
          </cell>
          <cell r="J1827">
            <v>0</v>
          </cell>
          <cell r="K1827">
            <v>0</v>
          </cell>
          <cell r="L1827">
            <v>0</v>
          </cell>
        </row>
        <row r="1828">
          <cell r="A1828">
            <v>5</v>
          </cell>
          <cell r="B1828">
            <v>9</v>
          </cell>
          <cell r="C1828">
            <v>283</v>
          </cell>
          <cell r="D1828">
            <v>15</v>
          </cell>
          <cell r="E1828" t="str">
            <v xml:space="preserve">    </v>
          </cell>
          <cell r="F1828" t="str">
            <v xml:space="preserve">   </v>
          </cell>
          <cell r="G1828">
            <v>5928315</v>
          </cell>
          <cell r="H1828">
            <v>-1025653</v>
          </cell>
          <cell r="I1828">
            <v>-1025653</v>
          </cell>
          <cell r="J1828">
            <v>0</v>
          </cell>
          <cell r="K1828">
            <v>0</v>
          </cell>
          <cell r="L1828">
            <v>0</v>
          </cell>
        </row>
        <row r="1829">
          <cell r="A1829">
            <v>3</v>
          </cell>
          <cell r="B1829">
            <v>9</v>
          </cell>
          <cell r="C1829">
            <v>283</v>
          </cell>
          <cell r="D1829">
            <v>17</v>
          </cell>
          <cell r="E1829" t="str">
            <v xml:space="preserve">    </v>
          </cell>
          <cell r="F1829" t="str">
            <v xml:space="preserve">   </v>
          </cell>
          <cell r="G1829">
            <v>3928317</v>
          </cell>
          <cell r="H1829">
            <v>-142137150</v>
          </cell>
          <cell r="I1829">
            <v>-142137150</v>
          </cell>
          <cell r="J1829">
            <v>0</v>
          </cell>
          <cell r="K1829">
            <v>0</v>
          </cell>
          <cell r="L1829">
            <v>0</v>
          </cell>
        </row>
        <row r="1830">
          <cell r="A1830">
            <v>4</v>
          </cell>
          <cell r="B1830">
            <v>9</v>
          </cell>
          <cell r="C1830">
            <v>283</v>
          </cell>
          <cell r="D1830">
            <v>17</v>
          </cell>
          <cell r="E1830" t="str">
            <v xml:space="preserve">    </v>
          </cell>
          <cell r="F1830" t="str">
            <v xml:space="preserve">   </v>
          </cell>
          <cell r="G1830">
            <v>4928317</v>
          </cell>
          <cell r="H1830">
            <v>-144125279.00999999</v>
          </cell>
          <cell r="I1830">
            <v>-144125279.00999999</v>
          </cell>
          <cell r="J1830">
            <v>0</v>
          </cell>
          <cell r="K1830">
            <v>0</v>
          </cell>
          <cell r="L1830">
            <v>0</v>
          </cell>
        </row>
        <row r="1831">
          <cell r="A1831">
            <v>5</v>
          </cell>
          <cell r="B1831">
            <v>9</v>
          </cell>
          <cell r="C1831">
            <v>283</v>
          </cell>
          <cell r="D1831">
            <v>17</v>
          </cell>
          <cell r="E1831" t="str">
            <v xml:space="preserve">    </v>
          </cell>
          <cell r="F1831" t="str">
            <v xml:space="preserve">   </v>
          </cell>
          <cell r="G1831">
            <v>5928317</v>
          </cell>
          <cell r="H1831">
            <v>-142483186</v>
          </cell>
          <cell r="I1831">
            <v>-142483186</v>
          </cell>
          <cell r="J1831">
            <v>0</v>
          </cell>
          <cell r="K1831">
            <v>0</v>
          </cell>
          <cell r="L1831">
            <v>0</v>
          </cell>
        </row>
        <row r="1832">
          <cell r="A1832">
            <v>3</v>
          </cell>
          <cell r="B1832">
            <v>9</v>
          </cell>
          <cell r="C1832">
            <v>283</v>
          </cell>
          <cell r="D1832">
            <v>18</v>
          </cell>
          <cell r="E1832" t="str">
            <v xml:space="preserve">    </v>
          </cell>
          <cell r="F1832" t="str">
            <v xml:space="preserve">   </v>
          </cell>
          <cell r="G1832">
            <v>3928318</v>
          </cell>
          <cell r="H1832">
            <v>-20230674</v>
          </cell>
          <cell r="I1832">
            <v>-20230674</v>
          </cell>
          <cell r="J1832">
            <v>0</v>
          </cell>
          <cell r="K1832">
            <v>0</v>
          </cell>
          <cell r="L1832">
            <v>0</v>
          </cell>
        </row>
        <row r="1833">
          <cell r="A1833">
            <v>4</v>
          </cell>
          <cell r="B1833">
            <v>9</v>
          </cell>
          <cell r="C1833">
            <v>283</v>
          </cell>
          <cell r="D1833">
            <v>18</v>
          </cell>
          <cell r="E1833" t="str">
            <v xml:space="preserve">    </v>
          </cell>
          <cell r="F1833" t="str">
            <v xml:space="preserve">   </v>
          </cell>
          <cell r="G1833">
            <v>4928318</v>
          </cell>
          <cell r="H1833">
            <v>-21648933.649999999</v>
          </cell>
          <cell r="I1833">
            <v>-21648933.649999999</v>
          </cell>
          <cell r="J1833">
            <v>0</v>
          </cell>
          <cell r="K1833">
            <v>0</v>
          </cell>
          <cell r="L1833">
            <v>0</v>
          </cell>
        </row>
        <row r="1834">
          <cell r="A1834">
            <v>5</v>
          </cell>
          <cell r="B1834">
            <v>9</v>
          </cell>
          <cell r="C1834">
            <v>283</v>
          </cell>
          <cell r="D1834">
            <v>18</v>
          </cell>
          <cell r="E1834" t="str">
            <v xml:space="preserve">    </v>
          </cell>
          <cell r="F1834" t="str">
            <v xml:space="preserve">   </v>
          </cell>
          <cell r="G1834">
            <v>5928318</v>
          </cell>
          <cell r="H1834">
            <v>-20545224.5</v>
          </cell>
          <cell r="I1834">
            <v>-20545224.5</v>
          </cell>
          <cell r="J1834">
            <v>0</v>
          </cell>
          <cell r="K1834">
            <v>0</v>
          </cell>
          <cell r="L1834">
            <v>0</v>
          </cell>
        </row>
        <row r="1835">
          <cell r="A1835">
            <v>3</v>
          </cell>
          <cell r="B1835">
            <v>9</v>
          </cell>
          <cell r="C1835">
            <v>283</v>
          </cell>
          <cell r="D1835">
            <v>19</v>
          </cell>
          <cell r="E1835" t="str">
            <v xml:space="preserve">    </v>
          </cell>
          <cell r="F1835" t="str">
            <v xml:space="preserve">   </v>
          </cell>
          <cell r="G1835">
            <v>3928319</v>
          </cell>
          <cell r="H1835">
            <v>-10485434</v>
          </cell>
          <cell r="I1835">
            <v>-10485434</v>
          </cell>
          <cell r="J1835">
            <v>0</v>
          </cell>
          <cell r="K1835">
            <v>0</v>
          </cell>
          <cell r="L1835">
            <v>0</v>
          </cell>
        </row>
        <row r="1836">
          <cell r="A1836">
            <v>4</v>
          </cell>
          <cell r="B1836">
            <v>9</v>
          </cell>
          <cell r="C1836">
            <v>283</v>
          </cell>
          <cell r="D1836">
            <v>19</v>
          </cell>
          <cell r="E1836" t="str">
            <v xml:space="preserve">    </v>
          </cell>
          <cell r="F1836" t="str">
            <v xml:space="preserve">   </v>
          </cell>
          <cell r="G1836">
            <v>4928319</v>
          </cell>
          <cell r="H1836">
            <v>-10485433.92</v>
          </cell>
          <cell r="I1836">
            <v>-10485433.92</v>
          </cell>
          <cell r="J1836">
            <v>0</v>
          </cell>
          <cell r="K1836">
            <v>0</v>
          </cell>
          <cell r="L1836">
            <v>0</v>
          </cell>
        </row>
        <row r="1837">
          <cell r="A1837">
            <v>5</v>
          </cell>
          <cell r="B1837">
            <v>9</v>
          </cell>
          <cell r="C1837">
            <v>283</v>
          </cell>
          <cell r="D1837">
            <v>19</v>
          </cell>
          <cell r="E1837" t="str">
            <v xml:space="preserve">    </v>
          </cell>
          <cell r="F1837" t="str">
            <v xml:space="preserve">   </v>
          </cell>
          <cell r="G1837">
            <v>5928319</v>
          </cell>
          <cell r="H1837">
            <v>-10485434</v>
          </cell>
          <cell r="I1837">
            <v>-10485434</v>
          </cell>
          <cell r="J1837">
            <v>0</v>
          </cell>
          <cell r="K1837">
            <v>0</v>
          </cell>
          <cell r="L1837">
            <v>0</v>
          </cell>
        </row>
        <row r="1838">
          <cell r="A1838">
            <v>3</v>
          </cell>
          <cell r="B1838">
            <v>9</v>
          </cell>
          <cell r="C1838">
            <v>283</v>
          </cell>
          <cell r="D1838">
            <v>20</v>
          </cell>
          <cell r="E1838" t="str">
            <v xml:space="preserve">    </v>
          </cell>
          <cell r="F1838" t="str">
            <v xml:space="preserve">   </v>
          </cell>
          <cell r="G1838">
            <v>3928320</v>
          </cell>
          <cell r="H1838">
            <v>-569663.72</v>
          </cell>
          <cell r="I1838">
            <v>-569663.72</v>
          </cell>
          <cell r="J1838">
            <v>0</v>
          </cell>
          <cell r="K1838">
            <v>0</v>
          </cell>
          <cell r="L1838">
            <v>0</v>
          </cell>
        </row>
        <row r="1839">
          <cell r="A1839">
            <v>4</v>
          </cell>
          <cell r="B1839">
            <v>9</v>
          </cell>
          <cell r="C1839">
            <v>283</v>
          </cell>
          <cell r="D1839">
            <v>20</v>
          </cell>
          <cell r="E1839" t="str">
            <v xml:space="preserve">    </v>
          </cell>
          <cell r="F1839" t="str">
            <v xml:space="preserve">   </v>
          </cell>
          <cell r="G1839">
            <v>4928320</v>
          </cell>
          <cell r="H1839">
            <v>-586681.16</v>
          </cell>
          <cell r="I1839">
            <v>-586681.16</v>
          </cell>
          <cell r="J1839">
            <v>0</v>
          </cell>
          <cell r="K1839">
            <v>0</v>
          </cell>
          <cell r="L1839">
            <v>0</v>
          </cell>
        </row>
        <row r="1840">
          <cell r="A1840">
            <v>5</v>
          </cell>
          <cell r="B1840">
            <v>9</v>
          </cell>
          <cell r="C1840">
            <v>283</v>
          </cell>
          <cell r="D1840">
            <v>20</v>
          </cell>
          <cell r="E1840" t="str">
            <v xml:space="preserve">    </v>
          </cell>
          <cell r="F1840" t="str">
            <v xml:space="preserve">   </v>
          </cell>
          <cell r="G1840">
            <v>5928320</v>
          </cell>
          <cell r="H1840">
            <v>-571081.84</v>
          </cell>
          <cell r="I1840">
            <v>-571081.84</v>
          </cell>
          <cell r="J1840">
            <v>0</v>
          </cell>
          <cell r="K1840">
            <v>0</v>
          </cell>
          <cell r="L1840">
            <v>0</v>
          </cell>
        </row>
        <row r="1841">
          <cell r="A1841">
            <v>3</v>
          </cell>
          <cell r="B1841">
            <v>9</v>
          </cell>
          <cell r="C1841">
            <v>283</v>
          </cell>
          <cell r="D1841">
            <v>28</v>
          </cell>
          <cell r="E1841" t="str">
            <v xml:space="preserve">    </v>
          </cell>
          <cell r="F1841" t="str">
            <v xml:space="preserve">   </v>
          </cell>
          <cell r="G1841">
            <v>3928328</v>
          </cell>
          <cell r="H1841">
            <v>-14491</v>
          </cell>
          <cell r="I1841">
            <v>0</v>
          </cell>
          <cell r="J1841">
            <v>-14491</v>
          </cell>
          <cell r="K1841">
            <v>0</v>
          </cell>
          <cell r="L1841">
            <v>0</v>
          </cell>
        </row>
        <row r="1842">
          <cell r="A1842">
            <v>4</v>
          </cell>
          <cell r="B1842">
            <v>9</v>
          </cell>
          <cell r="C1842">
            <v>283</v>
          </cell>
          <cell r="D1842">
            <v>28</v>
          </cell>
          <cell r="E1842" t="str">
            <v xml:space="preserve">    </v>
          </cell>
          <cell r="F1842" t="str">
            <v xml:space="preserve">   </v>
          </cell>
          <cell r="G1842">
            <v>4928328</v>
          </cell>
          <cell r="H1842">
            <v>-15094.67</v>
          </cell>
          <cell r="I1842">
            <v>0</v>
          </cell>
          <cell r="J1842">
            <v>-15094.67</v>
          </cell>
          <cell r="K1842">
            <v>0</v>
          </cell>
          <cell r="L1842">
            <v>0</v>
          </cell>
        </row>
        <row r="1843">
          <cell r="A1843">
            <v>5</v>
          </cell>
          <cell r="B1843">
            <v>9</v>
          </cell>
          <cell r="C1843">
            <v>283</v>
          </cell>
          <cell r="D1843">
            <v>28</v>
          </cell>
          <cell r="E1843" t="str">
            <v xml:space="preserve">    </v>
          </cell>
          <cell r="F1843" t="str">
            <v xml:space="preserve">   </v>
          </cell>
          <cell r="G1843">
            <v>5928328</v>
          </cell>
          <cell r="H1843">
            <v>-14491</v>
          </cell>
          <cell r="I1843">
            <v>0</v>
          </cell>
          <cell r="J1843">
            <v>-14491</v>
          </cell>
          <cell r="K1843">
            <v>0</v>
          </cell>
          <cell r="L1843">
            <v>0</v>
          </cell>
        </row>
        <row r="1844">
          <cell r="A1844">
            <v>3</v>
          </cell>
          <cell r="B1844">
            <v>9</v>
          </cell>
          <cell r="C1844">
            <v>283</v>
          </cell>
          <cell r="D1844">
            <v>33</v>
          </cell>
          <cell r="E1844" t="str">
            <v xml:space="preserve">    </v>
          </cell>
          <cell r="F1844" t="str">
            <v xml:space="preserve">   </v>
          </cell>
          <cell r="G1844">
            <v>3928333</v>
          </cell>
          <cell r="H1844">
            <v>1240255.44</v>
          </cell>
          <cell r="I1844">
            <v>0</v>
          </cell>
          <cell r="J1844">
            <v>1240255.44</v>
          </cell>
          <cell r="K1844">
            <v>0</v>
          </cell>
          <cell r="L1844">
            <v>0</v>
          </cell>
        </row>
        <row r="1845">
          <cell r="A1845">
            <v>4</v>
          </cell>
          <cell r="B1845">
            <v>9</v>
          </cell>
          <cell r="C1845">
            <v>283</v>
          </cell>
          <cell r="D1845">
            <v>33</v>
          </cell>
          <cell r="E1845" t="str">
            <v xml:space="preserve">    </v>
          </cell>
          <cell r="F1845" t="str">
            <v xml:space="preserve">   </v>
          </cell>
          <cell r="G1845">
            <v>4928333</v>
          </cell>
          <cell r="H1845">
            <v>1632646.02</v>
          </cell>
          <cell r="I1845">
            <v>0</v>
          </cell>
          <cell r="J1845">
            <v>1632646.02</v>
          </cell>
          <cell r="K1845">
            <v>0</v>
          </cell>
          <cell r="L1845">
            <v>0</v>
          </cell>
        </row>
        <row r="1846">
          <cell r="A1846">
            <v>5</v>
          </cell>
          <cell r="B1846">
            <v>9</v>
          </cell>
          <cell r="C1846">
            <v>283</v>
          </cell>
          <cell r="D1846">
            <v>33</v>
          </cell>
          <cell r="E1846" t="str">
            <v xml:space="preserve">    </v>
          </cell>
          <cell r="F1846" t="str">
            <v xml:space="preserve">   </v>
          </cell>
          <cell r="G1846">
            <v>5928333</v>
          </cell>
          <cell r="H1846">
            <v>1198471.94</v>
          </cell>
          <cell r="I1846">
            <v>0</v>
          </cell>
          <cell r="J1846">
            <v>1198471.94</v>
          </cell>
          <cell r="K1846">
            <v>0</v>
          </cell>
          <cell r="L1846">
            <v>0</v>
          </cell>
        </row>
        <row r="1847">
          <cell r="A1847">
            <v>3</v>
          </cell>
          <cell r="B1847">
            <v>9</v>
          </cell>
          <cell r="C1847">
            <v>283</v>
          </cell>
          <cell r="D1847">
            <v>41</v>
          </cell>
          <cell r="E1847" t="str">
            <v xml:space="preserve">    </v>
          </cell>
          <cell r="F1847" t="str">
            <v xml:space="preserve">   </v>
          </cell>
          <cell r="G1847">
            <v>3928341</v>
          </cell>
          <cell r="H1847">
            <v>-912516.91</v>
          </cell>
          <cell r="I1847">
            <v>0</v>
          </cell>
          <cell r="J1847">
            <v>0</v>
          </cell>
          <cell r="K1847">
            <v>-912516.91</v>
          </cell>
          <cell r="L1847">
            <v>0</v>
          </cell>
        </row>
        <row r="1848">
          <cell r="A1848">
            <v>4</v>
          </cell>
          <cell r="B1848">
            <v>9</v>
          </cell>
          <cell r="C1848">
            <v>283</v>
          </cell>
          <cell r="D1848">
            <v>41</v>
          </cell>
          <cell r="E1848" t="str">
            <v xml:space="preserve">    </v>
          </cell>
          <cell r="F1848" t="str">
            <v xml:space="preserve">   </v>
          </cell>
          <cell r="G1848">
            <v>4928341</v>
          </cell>
          <cell r="H1848">
            <v>-800104.05</v>
          </cell>
          <cell r="I1848">
            <v>0</v>
          </cell>
          <cell r="J1848">
            <v>0</v>
          </cell>
          <cell r="K1848">
            <v>-800104.05</v>
          </cell>
          <cell r="L1848">
            <v>0</v>
          </cell>
        </row>
        <row r="1849">
          <cell r="A1849">
            <v>5</v>
          </cell>
          <cell r="B1849">
            <v>9</v>
          </cell>
          <cell r="C1849">
            <v>283</v>
          </cell>
          <cell r="D1849">
            <v>41</v>
          </cell>
          <cell r="E1849" t="str">
            <v xml:space="preserve">    </v>
          </cell>
          <cell r="F1849" t="str">
            <v xml:space="preserve">   </v>
          </cell>
          <cell r="G1849">
            <v>5928341</v>
          </cell>
          <cell r="H1849">
            <v>-930563.9</v>
          </cell>
          <cell r="I1849">
            <v>0</v>
          </cell>
          <cell r="J1849">
            <v>0</v>
          </cell>
          <cell r="K1849">
            <v>-930563.9</v>
          </cell>
          <cell r="L1849">
            <v>0</v>
          </cell>
        </row>
        <row r="1850">
          <cell r="A1850">
            <v>3</v>
          </cell>
          <cell r="B1850">
            <v>9</v>
          </cell>
          <cell r="C1850">
            <v>283</v>
          </cell>
          <cell r="D1850">
            <v>72</v>
          </cell>
          <cell r="E1850" t="str">
            <v xml:space="preserve">    </v>
          </cell>
          <cell r="F1850" t="str">
            <v xml:space="preserve">   </v>
          </cell>
          <cell r="G1850">
            <v>3928372</v>
          </cell>
          <cell r="H1850">
            <v>-7610095.9400000004</v>
          </cell>
          <cell r="I1850">
            <v>-7610095.9400000004</v>
          </cell>
          <cell r="J1850">
            <v>0</v>
          </cell>
          <cell r="K1850">
            <v>0</v>
          </cell>
          <cell r="L1850">
            <v>0</v>
          </cell>
        </row>
        <row r="1851">
          <cell r="A1851">
            <v>4</v>
          </cell>
          <cell r="B1851">
            <v>9</v>
          </cell>
          <cell r="C1851">
            <v>283</v>
          </cell>
          <cell r="D1851">
            <v>72</v>
          </cell>
          <cell r="E1851" t="str">
            <v xml:space="preserve">    </v>
          </cell>
          <cell r="F1851" t="str">
            <v xml:space="preserve">   </v>
          </cell>
          <cell r="G1851">
            <v>4928372</v>
          </cell>
          <cell r="H1851">
            <v>-6864904.5700000003</v>
          </cell>
          <cell r="I1851">
            <v>-6864904.5700000003</v>
          </cell>
          <cell r="J1851">
            <v>0</v>
          </cell>
          <cell r="K1851">
            <v>0</v>
          </cell>
          <cell r="L1851">
            <v>0</v>
          </cell>
        </row>
        <row r="1852">
          <cell r="A1852">
            <v>5</v>
          </cell>
          <cell r="B1852">
            <v>9</v>
          </cell>
          <cell r="C1852">
            <v>283</v>
          </cell>
          <cell r="D1852">
            <v>72</v>
          </cell>
          <cell r="E1852" t="str">
            <v xml:space="preserve">    </v>
          </cell>
          <cell r="F1852" t="str">
            <v xml:space="preserve">   </v>
          </cell>
          <cell r="G1852">
            <v>5928372</v>
          </cell>
          <cell r="H1852">
            <v>-7547996.6600000001</v>
          </cell>
          <cell r="I1852">
            <v>-7547996.6600000001</v>
          </cell>
          <cell r="J1852">
            <v>0</v>
          </cell>
          <cell r="K1852">
            <v>0</v>
          </cell>
          <cell r="L1852">
            <v>0</v>
          </cell>
        </row>
        <row r="1853">
          <cell r="A1853">
            <v>3</v>
          </cell>
          <cell r="B1853">
            <v>9</v>
          </cell>
          <cell r="C1853">
            <v>283</v>
          </cell>
          <cell r="D1853">
            <v>73</v>
          </cell>
          <cell r="E1853" t="str">
            <v xml:space="preserve">    </v>
          </cell>
          <cell r="F1853" t="str">
            <v xml:space="preserve">   </v>
          </cell>
          <cell r="G1853">
            <v>3928373</v>
          </cell>
          <cell r="H1853">
            <v>-1128984.8999999999</v>
          </cell>
          <cell r="I1853">
            <v>-1128984.8999999999</v>
          </cell>
          <cell r="J1853">
            <v>0</v>
          </cell>
          <cell r="K1853">
            <v>0</v>
          </cell>
          <cell r="L1853">
            <v>0</v>
          </cell>
        </row>
        <row r="1854">
          <cell r="A1854">
            <v>4</v>
          </cell>
          <cell r="B1854">
            <v>9</v>
          </cell>
          <cell r="C1854">
            <v>283</v>
          </cell>
          <cell r="D1854">
            <v>73</v>
          </cell>
          <cell r="E1854" t="str">
            <v xml:space="preserve">    </v>
          </cell>
          <cell r="F1854" t="str">
            <v xml:space="preserve">   </v>
          </cell>
          <cell r="G1854">
            <v>4928373</v>
          </cell>
          <cell r="H1854">
            <v>-1037467.38</v>
          </cell>
          <cell r="I1854">
            <v>-1037467.38</v>
          </cell>
          <cell r="J1854">
            <v>0</v>
          </cell>
          <cell r="K1854">
            <v>0</v>
          </cell>
          <cell r="L1854">
            <v>0</v>
          </cell>
        </row>
        <row r="1855">
          <cell r="A1855">
            <v>5</v>
          </cell>
          <cell r="B1855">
            <v>9</v>
          </cell>
          <cell r="C1855">
            <v>283</v>
          </cell>
          <cell r="D1855">
            <v>73</v>
          </cell>
          <cell r="E1855" t="str">
            <v xml:space="preserve">    </v>
          </cell>
          <cell r="F1855" t="str">
            <v xml:space="preserve">   </v>
          </cell>
          <cell r="G1855">
            <v>5928373</v>
          </cell>
          <cell r="H1855">
            <v>-1121358.44</v>
          </cell>
          <cell r="I1855">
            <v>-1121358.44</v>
          </cell>
          <cell r="J1855">
            <v>0</v>
          </cell>
          <cell r="K1855">
            <v>0</v>
          </cell>
          <cell r="L1855">
            <v>0</v>
          </cell>
        </row>
        <row r="1856">
          <cell r="A1856">
            <v>3</v>
          </cell>
          <cell r="B1856">
            <v>9</v>
          </cell>
          <cell r="C1856">
            <v>283</v>
          </cell>
          <cell r="D1856">
            <v>74</v>
          </cell>
          <cell r="E1856" t="str">
            <v xml:space="preserve">    </v>
          </cell>
          <cell r="F1856" t="str">
            <v xml:space="preserve">   </v>
          </cell>
          <cell r="G1856">
            <v>3928374</v>
          </cell>
          <cell r="H1856">
            <v>365135</v>
          </cell>
          <cell r="I1856">
            <v>0</v>
          </cell>
          <cell r="J1856">
            <v>176063</v>
          </cell>
          <cell r="K1856">
            <v>189072</v>
          </cell>
          <cell r="L1856">
            <v>0</v>
          </cell>
        </row>
        <row r="1857">
          <cell r="A1857">
            <v>4</v>
          </cell>
          <cell r="B1857">
            <v>9</v>
          </cell>
          <cell r="C1857">
            <v>283</v>
          </cell>
          <cell r="D1857">
            <v>74</v>
          </cell>
          <cell r="E1857" t="str">
            <v xml:space="preserve">    </v>
          </cell>
          <cell r="F1857" t="str">
            <v xml:space="preserve">   </v>
          </cell>
          <cell r="G1857">
            <v>4928374</v>
          </cell>
          <cell r="H1857">
            <v>324952.95</v>
          </cell>
          <cell r="I1857">
            <v>0</v>
          </cell>
          <cell r="J1857">
            <v>156868.95000000001</v>
          </cell>
          <cell r="K1857">
            <v>168084</v>
          </cell>
          <cell r="L1857">
            <v>0</v>
          </cell>
        </row>
        <row r="1858">
          <cell r="A1858">
            <v>5</v>
          </cell>
          <cell r="B1858">
            <v>9</v>
          </cell>
          <cell r="C1858">
            <v>283</v>
          </cell>
          <cell r="D1858">
            <v>74</v>
          </cell>
          <cell r="E1858" t="str">
            <v xml:space="preserve">    </v>
          </cell>
          <cell r="F1858" t="str">
            <v xml:space="preserve">   </v>
          </cell>
          <cell r="G1858">
            <v>5928374</v>
          </cell>
          <cell r="H1858">
            <v>361786.5</v>
          </cell>
          <cell r="I1858">
            <v>0</v>
          </cell>
          <cell r="J1858">
            <v>174463.5</v>
          </cell>
          <cell r="K1858">
            <v>187323</v>
          </cell>
          <cell r="L1858">
            <v>0</v>
          </cell>
        </row>
        <row r="1859">
          <cell r="A1859">
            <v>3</v>
          </cell>
          <cell r="B1859">
            <v>9</v>
          </cell>
          <cell r="C1859">
            <v>283</v>
          </cell>
          <cell r="D1859">
            <v>75</v>
          </cell>
          <cell r="E1859" t="str">
            <v xml:space="preserve">    </v>
          </cell>
          <cell r="F1859" t="str">
            <v xml:space="preserve">   </v>
          </cell>
          <cell r="G1859">
            <v>3928375</v>
          </cell>
          <cell r="H1859">
            <v>72227.009999999995</v>
          </cell>
          <cell r="I1859">
            <v>35</v>
          </cell>
          <cell r="J1859">
            <v>52533.49</v>
          </cell>
          <cell r="K1859">
            <v>19658.52</v>
          </cell>
          <cell r="L1859">
            <v>0</v>
          </cell>
        </row>
        <row r="1860">
          <cell r="A1860">
            <v>4</v>
          </cell>
          <cell r="B1860">
            <v>9</v>
          </cell>
          <cell r="C1860">
            <v>283</v>
          </cell>
          <cell r="D1860">
            <v>75</v>
          </cell>
          <cell r="E1860" t="str">
            <v xml:space="preserve">    </v>
          </cell>
          <cell r="F1860" t="str">
            <v xml:space="preserve">   </v>
          </cell>
          <cell r="G1860">
            <v>4928375</v>
          </cell>
          <cell r="H1860">
            <v>61909.33</v>
          </cell>
          <cell r="I1860">
            <v>34.909999999999997</v>
          </cell>
          <cell r="J1860">
            <v>45023.91</v>
          </cell>
          <cell r="K1860">
            <v>16850.509999999998</v>
          </cell>
          <cell r="L1860">
            <v>0</v>
          </cell>
        </row>
        <row r="1861">
          <cell r="A1861">
            <v>5</v>
          </cell>
          <cell r="B1861">
            <v>9</v>
          </cell>
          <cell r="C1861">
            <v>283</v>
          </cell>
          <cell r="D1861">
            <v>75</v>
          </cell>
          <cell r="E1861" t="str">
            <v xml:space="preserve">    </v>
          </cell>
          <cell r="F1861" t="str">
            <v xml:space="preserve">   </v>
          </cell>
          <cell r="G1861">
            <v>5928375</v>
          </cell>
          <cell r="H1861">
            <v>71367.210000000006</v>
          </cell>
          <cell r="I1861">
            <v>35</v>
          </cell>
          <cell r="J1861">
            <v>51907.69</v>
          </cell>
          <cell r="K1861">
            <v>19424.52</v>
          </cell>
          <cell r="L1861">
            <v>0</v>
          </cell>
        </row>
        <row r="1862">
          <cell r="A1862">
            <v>3</v>
          </cell>
          <cell r="B1862">
            <v>9</v>
          </cell>
          <cell r="C1862">
            <v>283</v>
          </cell>
          <cell r="D1862">
            <v>85</v>
          </cell>
          <cell r="E1862" t="str">
            <v xml:space="preserve">    </v>
          </cell>
          <cell r="F1862" t="str">
            <v xml:space="preserve">   </v>
          </cell>
          <cell r="G1862">
            <v>3928385</v>
          </cell>
          <cell r="H1862">
            <v>-3553726.16</v>
          </cell>
          <cell r="I1862">
            <v>-3553726.16</v>
          </cell>
          <cell r="J1862">
            <v>0</v>
          </cell>
          <cell r="K1862">
            <v>0</v>
          </cell>
          <cell r="L1862">
            <v>0</v>
          </cell>
        </row>
        <row r="1863">
          <cell r="A1863">
            <v>4</v>
          </cell>
          <cell r="B1863">
            <v>9</v>
          </cell>
          <cell r="C1863">
            <v>283</v>
          </cell>
          <cell r="D1863">
            <v>85</v>
          </cell>
          <cell r="E1863" t="str">
            <v xml:space="preserve">    </v>
          </cell>
          <cell r="F1863" t="str">
            <v xml:space="preserve">   </v>
          </cell>
          <cell r="G1863">
            <v>4928385</v>
          </cell>
          <cell r="H1863">
            <v>-3944005.3</v>
          </cell>
          <cell r="I1863">
            <v>-3944005.3</v>
          </cell>
          <cell r="J1863">
            <v>0</v>
          </cell>
          <cell r="K1863">
            <v>0</v>
          </cell>
          <cell r="L1863">
            <v>0</v>
          </cell>
        </row>
        <row r="1864">
          <cell r="A1864">
            <v>5</v>
          </cell>
          <cell r="B1864">
            <v>9</v>
          </cell>
          <cell r="C1864">
            <v>283</v>
          </cell>
          <cell r="D1864">
            <v>85</v>
          </cell>
          <cell r="E1864" t="str">
            <v xml:space="preserve">    </v>
          </cell>
          <cell r="F1864" t="str">
            <v xml:space="preserve">   </v>
          </cell>
          <cell r="G1864">
            <v>5928385</v>
          </cell>
          <cell r="H1864">
            <v>-3579872.64</v>
          </cell>
          <cell r="I1864">
            <v>-3579872.64</v>
          </cell>
          <cell r="J1864">
            <v>0</v>
          </cell>
          <cell r="K1864">
            <v>0</v>
          </cell>
          <cell r="L1864">
            <v>0</v>
          </cell>
        </row>
        <row r="1865">
          <cell r="A1865">
            <v>3</v>
          </cell>
          <cell r="B1865">
            <v>9</v>
          </cell>
          <cell r="C1865">
            <v>283</v>
          </cell>
          <cell r="D1865">
            <v>86</v>
          </cell>
          <cell r="E1865" t="str">
            <v xml:space="preserve">    </v>
          </cell>
          <cell r="F1865" t="str">
            <v xml:space="preserve">   </v>
          </cell>
          <cell r="G1865">
            <v>3928386</v>
          </cell>
          <cell r="H1865">
            <v>-591766.31999999995</v>
          </cell>
          <cell r="I1865">
            <v>-591766.31999999995</v>
          </cell>
          <cell r="J1865">
            <v>0</v>
          </cell>
          <cell r="K1865">
            <v>0</v>
          </cell>
          <cell r="L1865">
            <v>0</v>
          </cell>
        </row>
        <row r="1866">
          <cell r="A1866">
            <v>4</v>
          </cell>
          <cell r="B1866">
            <v>9</v>
          </cell>
          <cell r="C1866">
            <v>283</v>
          </cell>
          <cell r="D1866">
            <v>86</v>
          </cell>
          <cell r="E1866" t="str">
            <v xml:space="preserve">    </v>
          </cell>
          <cell r="F1866" t="str">
            <v xml:space="preserve">   </v>
          </cell>
          <cell r="G1866">
            <v>4928386</v>
          </cell>
          <cell r="H1866">
            <v>-445008.59</v>
          </cell>
          <cell r="I1866">
            <v>-445008.59</v>
          </cell>
          <cell r="J1866">
            <v>0</v>
          </cell>
          <cell r="K1866">
            <v>0</v>
          </cell>
          <cell r="L1866">
            <v>0</v>
          </cell>
        </row>
        <row r="1867">
          <cell r="A1867">
            <v>5</v>
          </cell>
          <cell r="B1867">
            <v>9</v>
          </cell>
          <cell r="C1867">
            <v>283</v>
          </cell>
          <cell r="D1867">
            <v>86</v>
          </cell>
          <cell r="E1867" t="str">
            <v xml:space="preserve">    </v>
          </cell>
          <cell r="F1867" t="str">
            <v xml:space="preserve">   </v>
          </cell>
          <cell r="G1867">
            <v>5928386</v>
          </cell>
          <cell r="H1867">
            <v>-596060.65</v>
          </cell>
          <cell r="I1867">
            <v>-596060.65</v>
          </cell>
          <cell r="J1867">
            <v>0</v>
          </cell>
          <cell r="K1867">
            <v>0</v>
          </cell>
          <cell r="L1867">
            <v>0</v>
          </cell>
        </row>
        <row r="1868">
          <cell r="A1868">
            <v>3</v>
          </cell>
          <cell r="B1868">
            <v>9</v>
          </cell>
          <cell r="C1868">
            <v>283</v>
          </cell>
          <cell r="D1868">
            <v>87</v>
          </cell>
          <cell r="E1868" t="str">
            <v xml:space="preserve">    </v>
          </cell>
          <cell r="F1868" t="str">
            <v xml:space="preserve">   </v>
          </cell>
          <cell r="G1868">
            <v>3928387</v>
          </cell>
          <cell r="H1868">
            <v>-253214</v>
          </cell>
          <cell r="I1868">
            <v>-253214</v>
          </cell>
          <cell r="J1868">
            <v>0</v>
          </cell>
          <cell r="K1868">
            <v>0</v>
          </cell>
          <cell r="L1868">
            <v>0</v>
          </cell>
        </row>
        <row r="1869">
          <cell r="A1869">
            <v>4</v>
          </cell>
          <cell r="B1869">
            <v>9</v>
          </cell>
          <cell r="C1869">
            <v>283</v>
          </cell>
          <cell r="D1869">
            <v>87</v>
          </cell>
          <cell r="E1869" t="str">
            <v xml:space="preserve">    </v>
          </cell>
          <cell r="F1869" t="str">
            <v xml:space="preserve">   </v>
          </cell>
          <cell r="G1869">
            <v>4928387</v>
          </cell>
          <cell r="H1869">
            <v>-90738.27</v>
          </cell>
          <cell r="I1869">
            <v>-90738.27</v>
          </cell>
          <cell r="J1869">
            <v>0</v>
          </cell>
          <cell r="K1869">
            <v>0</v>
          </cell>
          <cell r="L1869">
            <v>0</v>
          </cell>
        </row>
        <row r="1870">
          <cell r="A1870">
            <v>5</v>
          </cell>
          <cell r="B1870">
            <v>9</v>
          </cell>
          <cell r="C1870">
            <v>283</v>
          </cell>
          <cell r="D1870">
            <v>87</v>
          </cell>
          <cell r="E1870" t="str">
            <v xml:space="preserve">    </v>
          </cell>
          <cell r="F1870" t="str">
            <v xml:space="preserve">   </v>
          </cell>
          <cell r="G1870">
            <v>5928387</v>
          </cell>
          <cell r="H1870">
            <v>-255014.5</v>
          </cell>
          <cell r="I1870">
            <v>-255014.5</v>
          </cell>
          <cell r="J1870">
            <v>0</v>
          </cell>
          <cell r="K1870">
            <v>0</v>
          </cell>
          <cell r="L1870">
            <v>0</v>
          </cell>
        </row>
        <row r="1871">
          <cell r="A1871">
            <v>3</v>
          </cell>
          <cell r="B1871">
            <v>9</v>
          </cell>
          <cell r="C1871">
            <v>186</v>
          </cell>
          <cell r="D1871" t="str">
            <v xml:space="preserve">  </v>
          </cell>
          <cell r="E1871">
            <v>1510</v>
          </cell>
          <cell r="F1871" t="str">
            <v xml:space="preserve">   </v>
          </cell>
          <cell r="G1871">
            <v>391861510</v>
          </cell>
          <cell r="H1871">
            <v>0</v>
          </cell>
          <cell r="I1871">
            <v>0</v>
          </cell>
          <cell r="J1871">
            <v>0</v>
          </cell>
          <cell r="K1871">
            <v>0</v>
          </cell>
          <cell r="L1871">
            <v>0</v>
          </cell>
        </row>
        <row r="1872">
          <cell r="A1872">
            <v>4</v>
          </cell>
          <cell r="B1872">
            <v>9</v>
          </cell>
          <cell r="C1872">
            <v>186</v>
          </cell>
          <cell r="D1872" t="str">
            <v xml:space="preserve">  </v>
          </cell>
          <cell r="E1872">
            <v>1510</v>
          </cell>
          <cell r="F1872" t="str">
            <v xml:space="preserve">   </v>
          </cell>
          <cell r="G1872">
            <v>491861510</v>
          </cell>
          <cell r="H1872">
            <v>-0.69</v>
          </cell>
          <cell r="I1872">
            <v>-0.69</v>
          </cell>
          <cell r="J1872">
            <v>0</v>
          </cell>
          <cell r="K1872">
            <v>0</v>
          </cell>
          <cell r="L1872">
            <v>0</v>
          </cell>
        </row>
        <row r="1873">
          <cell r="A1873">
            <v>5</v>
          </cell>
          <cell r="B1873">
            <v>9</v>
          </cell>
          <cell r="C1873">
            <v>186</v>
          </cell>
          <cell r="D1873" t="str">
            <v xml:space="preserve">  </v>
          </cell>
          <cell r="E1873">
            <v>1510</v>
          </cell>
          <cell r="F1873" t="str">
            <v xml:space="preserve">   </v>
          </cell>
          <cell r="G1873">
            <v>591861510</v>
          </cell>
          <cell r="H1873">
            <v>-0.02</v>
          </cell>
          <cell r="I1873">
            <v>-0.02</v>
          </cell>
          <cell r="J1873">
            <v>0</v>
          </cell>
          <cell r="K1873">
            <v>0</v>
          </cell>
          <cell r="L1873">
            <v>0</v>
          </cell>
        </row>
        <row r="1874">
          <cell r="A1874">
            <v>3</v>
          </cell>
          <cell r="B1874">
            <v>9</v>
          </cell>
          <cell r="C1874">
            <v>186</v>
          </cell>
          <cell r="D1874" t="str">
            <v xml:space="preserve">  </v>
          </cell>
          <cell r="E1874">
            <v>1526</v>
          </cell>
          <cell r="F1874" t="str">
            <v xml:space="preserve">   </v>
          </cell>
          <cell r="G1874">
            <v>391861526</v>
          </cell>
          <cell r="H1874">
            <v>0</v>
          </cell>
          <cell r="I1874">
            <v>0</v>
          </cell>
          <cell r="J1874">
            <v>0</v>
          </cell>
          <cell r="K1874">
            <v>0</v>
          </cell>
          <cell r="L1874">
            <v>0</v>
          </cell>
        </row>
        <row r="1875">
          <cell r="A1875">
            <v>4</v>
          </cell>
          <cell r="B1875">
            <v>9</v>
          </cell>
          <cell r="C1875">
            <v>186</v>
          </cell>
          <cell r="D1875" t="str">
            <v xml:space="preserve">  </v>
          </cell>
          <cell r="E1875">
            <v>1526</v>
          </cell>
          <cell r="F1875" t="str">
            <v xml:space="preserve">   </v>
          </cell>
          <cell r="G1875">
            <v>491861526</v>
          </cell>
          <cell r="H1875">
            <v>-0.3</v>
          </cell>
          <cell r="I1875">
            <v>-0.3</v>
          </cell>
          <cell r="J1875">
            <v>0</v>
          </cell>
          <cell r="K1875">
            <v>0</v>
          </cell>
          <cell r="L1875">
            <v>0</v>
          </cell>
        </row>
        <row r="1876">
          <cell r="A1876">
            <v>5</v>
          </cell>
          <cell r="B1876">
            <v>9</v>
          </cell>
          <cell r="C1876">
            <v>186</v>
          </cell>
          <cell r="D1876" t="str">
            <v xml:space="preserve">  </v>
          </cell>
          <cell r="E1876">
            <v>1526</v>
          </cell>
          <cell r="F1876" t="str">
            <v xml:space="preserve">   </v>
          </cell>
          <cell r="G1876">
            <v>591861526</v>
          </cell>
          <cell r="H1876">
            <v>-0.06</v>
          </cell>
          <cell r="I1876">
            <v>-0.06</v>
          </cell>
          <cell r="J1876">
            <v>0</v>
          </cell>
          <cell r="K1876">
            <v>0</v>
          </cell>
          <cell r="L1876">
            <v>0</v>
          </cell>
        </row>
        <row r="1877">
          <cell r="A1877">
            <v>3</v>
          </cell>
          <cell r="B1877">
            <v>9</v>
          </cell>
          <cell r="C1877">
            <v>186</v>
          </cell>
          <cell r="D1877" t="str">
            <v xml:space="preserve">  </v>
          </cell>
          <cell r="E1877">
            <v>1529</v>
          </cell>
          <cell r="F1877" t="str">
            <v xml:space="preserve">   </v>
          </cell>
          <cell r="G1877">
            <v>391861529</v>
          </cell>
          <cell r="H1877">
            <v>0</v>
          </cell>
          <cell r="I1877">
            <v>0</v>
          </cell>
          <cell r="J1877">
            <v>0</v>
          </cell>
          <cell r="K1877">
            <v>0</v>
          </cell>
          <cell r="L1877">
            <v>0</v>
          </cell>
        </row>
        <row r="1878">
          <cell r="A1878">
            <v>4</v>
          </cell>
          <cell r="B1878">
            <v>9</v>
          </cell>
          <cell r="C1878">
            <v>186</v>
          </cell>
          <cell r="D1878" t="str">
            <v xml:space="preserve">  </v>
          </cell>
          <cell r="E1878">
            <v>1529</v>
          </cell>
          <cell r="F1878" t="str">
            <v xml:space="preserve">   </v>
          </cell>
          <cell r="G1878">
            <v>491861529</v>
          </cell>
          <cell r="H1878">
            <v>0</v>
          </cell>
          <cell r="I1878">
            <v>0</v>
          </cell>
          <cell r="J1878">
            <v>0</v>
          </cell>
          <cell r="K1878">
            <v>0</v>
          </cell>
          <cell r="L1878">
            <v>0</v>
          </cell>
        </row>
        <row r="1879">
          <cell r="A1879">
            <v>5</v>
          </cell>
          <cell r="B1879">
            <v>9</v>
          </cell>
          <cell r="C1879">
            <v>186</v>
          </cell>
          <cell r="D1879" t="str">
            <v xml:space="preserve">  </v>
          </cell>
          <cell r="E1879">
            <v>1529</v>
          </cell>
          <cell r="F1879" t="str">
            <v xml:space="preserve">   </v>
          </cell>
          <cell r="G1879">
            <v>591861529</v>
          </cell>
          <cell r="H1879">
            <v>0</v>
          </cell>
          <cell r="I1879">
            <v>0</v>
          </cell>
          <cell r="J1879">
            <v>0</v>
          </cell>
          <cell r="K1879">
            <v>0</v>
          </cell>
          <cell r="L1879">
            <v>0</v>
          </cell>
        </row>
        <row r="1880">
          <cell r="A1880">
            <v>3</v>
          </cell>
          <cell r="B1880">
            <v>9</v>
          </cell>
          <cell r="C1880">
            <v>186</v>
          </cell>
          <cell r="D1880" t="str">
            <v xml:space="preserve">  </v>
          </cell>
          <cell r="E1880">
            <v>1530</v>
          </cell>
          <cell r="F1880" t="str">
            <v xml:space="preserve">   </v>
          </cell>
          <cell r="G1880">
            <v>391861530</v>
          </cell>
          <cell r="H1880">
            <v>0</v>
          </cell>
          <cell r="I1880">
            <v>0</v>
          </cell>
          <cell r="J1880">
            <v>0</v>
          </cell>
          <cell r="K1880">
            <v>0</v>
          </cell>
          <cell r="L1880">
            <v>0</v>
          </cell>
        </row>
        <row r="1881">
          <cell r="A1881">
            <v>4</v>
          </cell>
          <cell r="B1881">
            <v>9</v>
          </cell>
          <cell r="C1881">
            <v>186</v>
          </cell>
          <cell r="D1881" t="str">
            <v xml:space="preserve">  </v>
          </cell>
          <cell r="E1881">
            <v>1530</v>
          </cell>
          <cell r="F1881" t="str">
            <v xml:space="preserve">   </v>
          </cell>
          <cell r="G1881">
            <v>491861530</v>
          </cell>
          <cell r="H1881">
            <v>0</v>
          </cell>
          <cell r="I1881">
            <v>0</v>
          </cell>
          <cell r="J1881">
            <v>0</v>
          </cell>
          <cell r="K1881">
            <v>0</v>
          </cell>
          <cell r="L1881">
            <v>0</v>
          </cell>
        </row>
        <row r="1882">
          <cell r="A1882">
            <v>5</v>
          </cell>
          <cell r="B1882">
            <v>9</v>
          </cell>
          <cell r="C1882">
            <v>186</v>
          </cell>
          <cell r="D1882" t="str">
            <v xml:space="preserve">  </v>
          </cell>
          <cell r="E1882">
            <v>1530</v>
          </cell>
          <cell r="F1882" t="str">
            <v xml:space="preserve">   </v>
          </cell>
          <cell r="G1882">
            <v>591861530</v>
          </cell>
          <cell r="H1882">
            <v>0</v>
          </cell>
          <cell r="I1882">
            <v>0</v>
          </cell>
          <cell r="J1882">
            <v>0</v>
          </cell>
          <cell r="K1882">
            <v>0</v>
          </cell>
          <cell r="L1882">
            <v>0</v>
          </cell>
        </row>
        <row r="1883">
          <cell r="A1883">
            <v>3</v>
          </cell>
          <cell r="B1883">
            <v>9</v>
          </cell>
          <cell r="C1883">
            <v>186</v>
          </cell>
          <cell r="D1883" t="str">
            <v xml:space="preserve">  </v>
          </cell>
          <cell r="E1883">
            <v>1531</v>
          </cell>
          <cell r="F1883" t="str">
            <v xml:space="preserve">   </v>
          </cell>
          <cell r="G1883">
            <v>391861531</v>
          </cell>
          <cell r="H1883">
            <v>0</v>
          </cell>
          <cell r="I1883">
            <v>0</v>
          </cell>
          <cell r="J1883">
            <v>0</v>
          </cell>
          <cell r="K1883">
            <v>0</v>
          </cell>
          <cell r="L1883">
            <v>0</v>
          </cell>
        </row>
        <row r="1884">
          <cell r="A1884">
            <v>4</v>
          </cell>
          <cell r="B1884">
            <v>9</v>
          </cell>
          <cell r="C1884">
            <v>186</v>
          </cell>
          <cell r="D1884" t="str">
            <v xml:space="preserve">  </v>
          </cell>
          <cell r="E1884">
            <v>1531</v>
          </cell>
          <cell r="F1884" t="str">
            <v xml:space="preserve">   </v>
          </cell>
          <cell r="G1884">
            <v>491861531</v>
          </cell>
          <cell r="H1884">
            <v>-0.24</v>
          </cell>
          <cell r="I1884">
            <v>-0.24</v>
          </cell>
          <cell r="J1884">
            <v>0</v>
          </cell>
          <cell r="K1884">
            <v>0</v>
          </cell>
          <cell r="L1884">
            <v>0</v>
          </cell>
        </row>
        <row r="1885">
          <cell r="A1885">
            <v>5</v>
          </cell>
          <cell r="B1885">
            <v>9</v>
          </cell>
          <cell r="C1885">
            <v>186</v>
          </cell>
          <cell r="D1885" t="str">
            <v xml:space="preserve">  </v>
          </cell>
          <cell r="E1885">
            <v>1531</v>
          </cell>
          <cell r="F1885" t="str">
            <v xml:space="preserve">   </v>
          </cell>
          <cell r="G1885">
            <v>591861531</v>
          </cell>
          <cell r="H1885">
            <v>-0.02</v>
          </cell>
          <cell r="I1885">
            <v>-0.02</v>
          </cell>
          <cell r="J1885">
            <v>0</v>
          </cell>
          <cell r="K1885">
            <v>0</v>
          </cell>
          <cell r="L1885">
            <v>0</v>
          </cell>
        </row>
        <row r="1886">
          <cell r="A1886">
            <v>3</v>
          </cell>
          <cell r="B1886">
            <v>9</v>
          </cell>
          <cell r="C1886">
            <v>186</v>
          </cell>
          <cell r="D1886" t="str">
            <v xml:space="preserve">  </v>
          </cell>
          <cell r="E1886">
            <v>1532</v>
          </cell>
          <cell r="F1886" t="str">
            <v xml:space="preserve">   </v>
          </cell>
          <cell r="G1886">
            <v>391861532</v>
          </cell>
          <cell r="H1886">
            <v>0</v>
          </cell>
          <cell r="I1886">
            <v>0</v>
          </cell>
          <cell r="J1886">
            <v>0</v>
          </cell>
          <cell r="K1886">
            <v>0</v>
          </cell>
          <cell r="L1886">
            <v>0</v>
          </cell>
        </row>
        <row r="1887">
          <cell r="A1887">
            <v>4</v>
          </cell>
          <cell r="B1887">
            <v>9</v>
          </cell>
          <cell r="C1887">
            <v>186</v>
          </cell>
          <cell r="D1887" t="str">
            <v xml:space="preserve">  </v>
          </cell>
          <cell r="E1887">
            <v>1532</v>
          </cell>
          <cell r="F1887" t="str">
            <v xml:space="preserve">   </v>
          </cell>
          <cell r="G1887">
            <v>491861532</v>
          </cell>
          <cell r="H1887">
            <v>0</v>
          </cell>
          <cell r="I1887">
            <v>0</v>
          </cell>
          <cell r="J1887">
            <v>0</v>
          </cell>
          <cell r="K1887">
            <v>0</v>
          </cell>
          <cell r="L1887">
            <v>0</v>
          </cell>
        </row>
        <row r="1888">
          <cell r="A1888">
            <v>5</v>
          </cell>
          <cell r="B1888">
            <v>9</v>
          </cell>
          <cell r="C1888">
            <v>186</v>
          </cell>
          <cell r="D1888" t="str">
            <v xml:space="preserve">  </v>
          </cell>
          <cell r="E1888">
            <v>1532</v>
          </cell>
          <cell r="F1888" t="str">
            <v xml:space="preserve">   </v>
          </cell>
          <cell r="G1888">
            <v>591861532</v>
          </cell>
          <cell r="H1888">
            <v>0</v>
          </cell>
          <cell r="I1888">
            <v>0</v>
          </cell>
          <cell r="J1888">
            <v>0</v>
          </cell>
          <cell r="K1888">
            <v>0</v>
          </cell>
          <cell r="L1888">
            <v>0</v>
          </cell>
        </row>
        <row r="1889">
          <cell r="A1889">
            <v>3</v>
          </cell>
          <cell r="B1889">
            <v>9</v>
          </cell>
          <cell r="C1889">
            <v>186</v>
          </cell>
          <cell r="D1889" t="str">
            <v xml:space="preserve">  </v>
          </cell>
          <cell r="E1889">
            <v>1658</v>
          </cell>
          <cell r="F1889" t="str">
            <v xml:space="preserve">   </v>
          </cell>
          <cell r="G1889">
            <v>391861658</v>
          </cell>
          <cell r="H1889">
            <v>108720</v>
          </cell>
          <cell r="I1889">
            <v>108720</v>
          </cell>
          <cell r="J1889">
            <v>0</v>
          </cell>
          <cell r="K1889">
            <v>0</v>
          </cell>
          <cell r="L1889">
            <v>0</v>
          </cell>
        </row>
        <row r="1890">
          <cell r="A1890">
            <v>4</v>
          </cell>
          <cell r="B1890">
            <v>9</v>
          </cell>
          <cell r="C1890">
            <v>186</v>
          </cell>
          <cell r="D1890" t="str">
            <v xml:space="preserve">  </v>
          </cell>
          <cell r="E1890">
            <v>1658</v>
          </cell>
          <cell r="F1890" t="str">
            <v xml:space="preserve">   </v>
          </cell>
          <cell r="G1890">
            <v>491861658</v>
          </cell>
          <cell r="H1890">
            <v>126839.67999999999</v>
          </cell>
          <cell r="I1890">
            <v>126839.67999999999</v>
          </cell>
          <cell r="J1890">
            <v>0</v>
          </cell>
          <cell r="K1890">
            <v>0</v>
          </cell>
          <cell r="L1890">
            <v>0</v>
          </cell>
        </row>
        <row r="1891">
          <cell r="A1891">
            <v>5</v>
          </cell>
          <cell r="B1891">
            <v>9</v>
          </cell>
          <cell r="C1891">
            <v>186</v>
          </cell>
          <cell r="D1891" t="str">
            <v xml:space="preserve">  </v>
          </cell>
          <cell r="E1891">
            <v>1658</v>
          </cell>
          <cell r="F1891" t="str">
            <v xml:space="preserve">   </v>
          </cell>
          <cell r="G1891">
            <v>591861658</v>
          </cell>
          <cell r="H1891">
            <v>110229.98</v>
          </cell>
          <cell r="I1891">
            <v>110229.98</v>
          </cell>
          <cell r="J1891">
            <v>0</v>
          </cell>
          <cell r="K1891">
            <v>0</v>
          </cell>
          <cell r="L1891">
            <v>0</v>
          </cell>
        </row>
        <row r="1892">
          <cell r="A1892">
            <v>3</v>
          </cell>
          <cell r="B1892">
            <v>9</v>
          </cell>
          <cell r="C1892">
            <v>186</v>
          </cell>
          <cell r="D1892" t="str">
            <v xml:space="preserve">  </v>
          </cell>
          <cell r="E1892">
            <v>1659</v>
          </cell>
          <cell r="F1892" t="str">
            <v xml:space="preserve">   </v>
          </cell>
          <cell r="G1892">
            <v>391861659</v>
          </cell>
          <cell r="H1892">
            <v>261360</v>
          </cell>
          <cell r="I1892">
            <v>261360</v>
          </cell>
          <cell r="J1892">
            <v>0</v>
          </cell>
          <cell r="K1892">
            <v>0</v>
          </cell>
          <cell r="L1892">
            <v>0</v>
          </cell>
        </row>
        <row r="1893">
          <cell r="A1893">
            <v>4</v>
          </cell>
          <cell r="B1893">
            <v>9</v>
          </cell>
          <cell r="C1893">
            <v>186</v>
          </cell>
          <cell r="D1893" t="str">
            <v xml:space="preserve">  </v>
          </cell>
          <cell r="E1893">
            <v>1659</v>
          </cell>
          <cell r="F1893" t="str">
            <v xml:space="preserve">   </v>
          </cell>
          <cell r="G1893">
            <v>491861659</v>
          </cell>
          <cell r="H1893">
            <v>304919.74</v>
          </cell>
          <cell r="I1893">
            <v>304919.74</v>
          </cell>
          <cell r="J1893">
            <v>0</v>
          </cell>
          <cell r="K1893">
            <v>0</v>
          </cell>
          <cell r="L1893">
            <v>0</v>
          </cell>
        </row>
        <row r="1894">
          <cell r="A1894">
            <v>5</v>
          </cell>
          <cell r="B1894">
            <v>9</v>
          </cell>
          <cell r="C1894">
            <v>186</v>
          </cell>
          <cell r="D1894" t="str">
            <v xml:space="preserve">  </v>
          </cell>
          <cell r="E1894">
            <v>1659</v>
          </cell>
          <cell r="F1894" t="str">
            <v xml:space="preserve">   </v>
          </cell>
          <cell r="G1894">
            <v>591861659</v>
          </cell>
          <cell r="H1894">
            <v>264989.98</v>
          </cell>
          <cell r="I1894">
            <v>264989.98</v>
          </cell>
          <cell r="J1894">
            <v>0</v>
          </cell>
          <cell r="K1894">
            <v>0</v>
          </cell>
          <cell r="L1894">
            <v>0</v>
          </cell>
        </row>
        <row r="1895">
          <cell r="A1895">
            <v>3</v>
          </cell>
          <cell r="B1895">
            <v>9</v>
          </cell>
          <cell r="C1895">
            <v>186</v>
          </cell>
          <cell r="D1895" t="str">
            <v xml:space="preserve">  </v>
          </cell>
          <cell r="E1895">
            <v>1880</v>
          </cell>
          <cell r="F1895" t="str">
            <v xml:space="preserve">   </v>
          </cell>
          <cell r="G1895">
            <v>391861880</v>
          </cell>
          <cell r="H1895">
            <v>146037.92000000001</v>
          </cell>
          <cell r="I1895">
            <v>0</v>
          </cell>
          <cell r="J1895">
            <v>146037.92000000001</v>
          </cell>
          <cell r="K1895">
            <v>0</v>
          </cell>
          <cell r="L1895">
            <v>0</v>
          </cell>
        </row>
        <row r="1896">
          <cell r="A1896">
            <v>4</v>
          </cell>
          <cell r="B1896">
            <v>9</v>
          </cell>
          <cell r="C1896">
            <v>186</v>
          </cell>
          <cell r="D1896" t="str">
            <v xml:space="preserve">  </v>
          </cell>
          <cell r="E1896">
            <v>1880</v>
          </cell>
          <cell r="F1896" t="str">
            <v xml:space="preserve">   </v>
          </cell>
          <cell r="G1896">
            <v>491861880</v>
          </cell>
          <cell r="H1896">
            <v>153367.79</v>
          </cell>
          <cell r="I1896">
            <v>0</v>
          </cell>
          <cell r="J1896">
            <v>153367.79</v>
          </cell>
          <cell r="K1896">
            <v>0</v>
          </cell>
          <cell r="L1896">
            <v>0</v>
          </cell>
        </row>
        <row r="1897">
          <cell r="A1897">
            <v>5</v>
          </cell>
          <cell r="B1897">
            <v>9</v>
          </cell>
          <cell r="C1897">
            <v>186</v>
          </cell>
          <cell r="D1897" t="str">
            <v xml:space="preserve">  </v>
          </cell>
          <cell r="E1897">
            <v>1880</v>
          </cell>
          <cell r="F1897" t="str">
            <v xml:space="preserve">   </v>
          </cell>
          <cell r="G1897">
            <v>591861880</v>
          </cell>
          <cell r="H1897">
            <v>146648.73000000001</v>
          </cell>
          <cell r="I1897">
            <v>0</v>
          </cell>
          <cell r="J1897">
            <v>146648.73000000001</v>
          </cell>
          <cell r="K1897">
            <v>0</v>
          </cell>
          <cell r="L1897">
            <v>0</v>
          </cell>
        </row>
        <row r="1898">
          <cell r="A1898">
            <v>3</v>
          </cell>
          <cell r="B1898">
            <v>9</v>
          </cell>
          <cell r="C1898">
            <v>186</v>
          </cell>
          <cell r="D1898" t="str">
            <v xml:space="preserve">  </v>
          </cell>
          <cell r="E1898">
            <v>1891</v>
          </cell>
          <cell r="F1898" t="str">
            <v xml:space="preserve">   </v>
          </cell>
          <cell r="G1898">
            <v>391861891</v>
          </cell>
          <cell r="H1898">
            <v>984129.06</v>
          </cell>
          <cell r="I1898">
            <v>0</v>
          </cell>
          <cell r="J1898">
            <v>620822.88</v>
          </cell>
          <cell r="K1898">
            <v>363306.18</v>
          </cell>
          <cell r="L1898">
            <v>0</v>
          </cell>
        </row>
        <row r="1899">
          <cell r="A1899">
            <v>4</v>
          </cell>
          <cell r="B1899">
            <v>9</v>
          </cell>
          <cell r="C1899">
            <v>186</v>
          </cell>
          <cell r="D1899" t="str">
            <v xml:space="preserve">  </v>
          </cell>
          <cell r="E1899">
            <v>1891</v>
          </cell>
          <cell r="F1899" t="str">
            <v xml:space="preserve">   </v>
          </cell>
          <cell r="G1899">
            <v>491861891</v>
          </cell>
          <cell r="H1899">
            <v>1034742.69</v>
          </cell>
          <cell r="I1899">
            <v>0</v>
          </cell>
          <cell r="J1899">
            <v>654748.03</v>
          </cell>
          <cell r="K1899">
            <v>379994.67</v>
          </cell>
          <cell r="L1899">
            <v>0</v>
          </cell>
        </row>
        <row r="1900">
          <cell r="A1900">
            <v>5</v>
          </cell>
          <cell r="B1900">
            <v>9</v>
          </cell>
          <cell r="C1900">
            <v>186</v>
          </cell>
          <cell r="D1900" t="str">
            <v xml:space="preserve">  </v>
          </cell>
          <cell r="E1900">
            <v>1891</v>
          </cell>
          <cell r="F1900" t="str">
            <v xml:space="preserve">   </v>
          </cell>
          <cell r="G1900">
            <v>591861891</v>
          </cell>
          <cell r="H1900">
            <v>988346.88</v>
          </cell>
          <cell r="I1900">
            <v>0</v>
          </cell>
          <cell r="J1900">
            <v>623649.98</v>
          </cell>
          <cell r="K1900">
            <v>364696.91</v>
          </cell>
          <cell r="L1900">
            <v>0</v>
          </cell>
        </row>
        <row r="1901">
          <cell r="A1901">
            <v>3</v>
          </cell>
          <cell r="B1901">
            <v>9</v>
          </cell>
          <cell r="C1901">
            <v>186</v>
          </cell>
          <cell r="D1901" t="str">
            <v xml:space="preserve">  </v>
          </cell>
          <cell r="E1901">
            <v>1892</v>
          </cell>
          <cell r="F1901" t="str">
            <v xml:space="preserve">   </v>
          </cell>
          <cell r="G1901">
            <v>391861892</v>
          </cell>
          <cell r="H1901">
            <v>5360646.93</v>
          </cell>
          <cell r="I1901">
            <v>0</v>
          </cell>
          <cell r="J1901">
            <v>3562718.2</v>
          </cell>
          <cell r="K1901">
            <v>1797928.73</v>
          </cell>
          <cell r="L1901">
            <v>0</v>
          </cell>
        </row>
        <row r="1902">
          <cell r="A1902">
            <v>4</v>
          </cell>
          <cell r="B1902">
            <v>9</v>
          </cell>
          <cell r="C1902">
            <v>186</v>
          </cell>
          <cell r="D1902" t="str">
            <v xml:space="preserve">  </v>
          </cell>
          <cell r="E1902">
            <v>1892</v>
          </cell>
          <cell r="F1902" t="str">
            <v xml:space="preserve">   </v>
          </cell>
          <cell r="G1902">
            <v>491861892</v>
          </cell>
          <cell r="H1902">
            <v>5618802.3399999999</v>
          </cell>
          <cell r="I1902">
            <v>0</v>
          </cell>
          <cell r="J1902">
            <v>3743981.93</v>
          </cell>
          <cell r="K1902">
            <v>1874820.41</v>
          </cell>
          <cell r="L1902">
            <v>0</v>
          </cell>
        </row>
        <row r="1903">
          <cell r="A1903">
            <v>5</v>
          </cell>
          <cell r="B1903">
            <v>9</v>
          </cell>
          <cell r="C1903">
            <v>186</v>
          </cell>
          <cell r="D1903" t="str">
            <v xml:space="preserve">  </v>
          </cell>
          <cell r="E1903">
            <v>1892</v>
          </cell>
          <cell r="F1903" t="str">
            <v xml:space="preserve">   </v>
          </cell>
          <cell r="G1903">
            <v>591861892</v>
          </cell>
          <cell r="H1903">
            <v>5382159.8799999999</v>
          </cell>
          <cell r="I1903">
            <v>0</v>
          </cell>
          <cell r="J1903">
            <v>3577823.51</v>
          </cell>
          <cell r="K1903">
            <v>1804336.37</v>
          </cell>
          <cell r="L1903">
            <v>0</v>
          </cell>
        </row>
        <row r="1904">
          <cell r="A1904">
            <v>3</v>
          </cell>
          <cell r="B1904">
            <v>9</v>
          </cell>
          <cell r="C1904">
            <v>186</v>
          </cell>
          <cell r="D1904" t="str">
            <v xml:space="preserve">  </v>
          </cell>
          <cell r="E1904">
            <v>1905</v>
          </cell>
          <cell r="F1904" t="str">
            <v xml:space="preserve">   </v>
          </cell>
          <cell r="G1904">
            <v>391861905</v>
          </cell>
          <cell r="H1904">
            <v>22666204.34</v>
          </cell>
          <cell r="I1904">
            <v>0</v>
          </cell>
          <cell r="J1904">
            <v>15068587.51</v>
          </cell>
          <cell r="K1904">
            <v>7597616.8300000001</v>
          </cell>
          <cell r="L1904">
            <v>0</v>
          </cell>
        </row>
        <row r="1905">
          <cell r="A1905">
            <v>4</v>
          </cell>
          <cell r="B1905">
            <v>9</v>
          </cell>
          <cell r="C1905">
            <v>186</v>
          </cell>
          <cell r="D1905" t="str">
            <v xml:space="preserve">  </v>
          </cell>
          <cell r="E1905">
            <v>1905</v>
          </cell>
          <cell r="F1905" t="str">
            <v xml:space="preserve">   </v>
          </cell>
          <cell r="G1905">
            <v>491861905</v>
          </cell>
          <cell r="H1905">
            <v>23854927.170000002</v>
          </cell>
          <cell r="I1905">
            <v>0</v>
          </cell>
          <cell r="J1905">
            <v>15901730.199999999</v>
          </cell>
          <cell r="K1905">
            <v>7953196.9699999997</v>
          </cell>
          <cell r="L1905">
            <v>0</v>
          </cell>
        </row>
        <row r="1906">
          <cell r="A1906">
            <v>5</v>
          </cell>
          <cell r="B1906">
            <v>9</v>
          </cell>
          <cell r="C1906">
            <v>186</v>
          </cell>
          <cell r="D1906" t="str">
            <v xml:space="preserve">  </v>
          </cell>
          <cell r="E1906">
            <v>1905</v>
          </cell>
          <cell r="F1906" t="str">
            <v xml:space="preserve">   </v>
          </cell>
          <cell r="G1906">
            <v>591861905</v>
          </cell>
          <cell r="H1906">
            <v>22765264.579999998</v>
          </cell>
          <cell r="I1906">
            <v>0</v>
          </cell>
          <cell r="J1906">
            <v>15138016.07</v>
          </cell>
          <cell r="K1906">
            <v>7627248.5099999998</v>
          </cell>
          <cell r="L1906">
            <v>0</v>
          </cell>
        </row>
        <row r="1907">
          <cell r="A1907">
            <v>3</v>
          </cell>
          <cell r="B1907">
            <v>9</v>
          </cell>
          <cell r="C1907">
            <v>186</v>
          </cell>
          <cell r="D1907" t="str">
            <v xml:space="preserve">  </v>
          </cell>
          <cell r="E1907">
            <v>1914</v>
          </cell>
          <cell r="F1907" t="str">
            <v xml:space="preserve">   </v>
          </cell>
          <cell r="G1907">
            <v>391861914</v>
          </cell>
          <cell r="H1907">
            <v>3829855.34</v>
          </cell>
          <cell r="I1907">
            <v>0</v>
          </cell>
          <cell r="J1907">
            <v>2582389.98</v>
          </cell>
          <cell r="K1907">
            <v>1247465.3600000001</v>
          </cell>
          <cell r="L1907">
            <v>0</v>
          </cell>
        </row>
        <row r="1908">
          <cell r="A1908">
            <v>4</v>
          </cell>
          <cell r="B1908">
            <v>9</v>
          </cell>
          <cell r="C1908">
            <v>186</v>
          </cell>
          <cell r="D1908" t="str">
            <v xml:space="preserve">  </v>
          </cell>
          <cell r="E1908">
            <v>1914</v>
          </cell>
          <cell r="F1908" t="str">
            <v xml:space="preserve">   </v>
          </cell>
          <cell r="G1908">
            <v>491861914</v>
          </cell>
          <cell r="H1908">
            <v>4028838.51</v>
          </cell>
          <cell r="I1908">
            <v>0</v>
          </cell>
          <cell r="J1908">
            <v>2722642.61</v>
          </cell>
          <cell r="K1908">
            <v>1306195.9099999999</v>
          </cell>
          <cell r="L1908">
            <v>0</v>
          </cell>
        </row>
        <row r="1909">
          <cell r="A1909">
            <v>5</v>
          </cell>
          <cell r="B1909">
            <v>9</v>
          </cell>
          <cell r="C1909">
            <v>186</v>
          </cell>
          <cell r="D1909" t="str">
            <v xml:space="preserve">  </v>
          </cell>
          <cell r="E1909">
            <v>1914</v>
          </cell>
          <cell r="F1909" t="str">
            <v xml:space="preserve">   </v>
          </cell>
          <cell r="G1909">
            <v>591861914</v>
          </cell>
          <cell r="H1909">
            <v>3846437.29</v>
          </cell>
          <cell r="I1909">
            <v>0</v>
          </cell>
          <cell r="J1909">
            <v>2594077.7000000002</v>
          </cell>
          <cell r="K1909">
            <v>1252359.6000000001</v>
          </cell>
          <cell r="L1909">
            <v>0</v>
          </cell>
        </row>
        <row r="1910">
          <cell r="A1910">
            <v>3</v>
          </cell>
          <cell r="B1910">
            <v>9</v>
          </cell>
          <cell r="C1910">
            <v>186</v>
          </cell>
          <cell r="D1910" t="str">
            <v xml:space="preserve">  </v>
          </cell>
          <cell r="E1910">
            <v>1916</v>
          </cell>
          <cell r="F1910" t="str">
            <v xml:space="preserve">   </v>
          </cell>
          <cell r="G1910">
            <v>391861916</v>
          </cell>
          <cell r="H1910">
            <v>1798449.19</v>
          </cell>
          <cell r="I1910">
            <v>0</v>
          </cell>
          <cell r="J1910">
            <v>1356668.53</v>
          </cell>
          <cell r="K1910">
            <v>441780.66</v>
          </cell>
          <cell r="L1910">
            <v>0</v>
          </cell>
        </row>
        <row r="1911">
          <cell r="A1911">
            <v>4</v>
          </cell>
          <cell r="B1911">
            <v>9</v>
          </cell>
          <cell r="C1911">
            <v>186</v>
          </cell>
          <cell r="D1911" t="str">
            <v xml:space="preserve">  </v>
          </cell>
          <cell r="E1911">
            <v>1916</v>
          </cell>
          <cell r="F1911" t="str">
            <v xml:space="preserve">   </v>
          </cell>
          <cell r="G1911">
            <v>491861916</v>
          </cell>
          <cell r="H1911">
            <v>1875021.36</v>
          </cell>
          <cell r="I1911">
            <v>0</v>
          </cell>
          <cell r="J1911">
            <v>1415586.43</v>
          </cell>
          <cell r="K1911">
            <v>459434.93</v>
          </cell>
          <cell r="L1911">
            <v>0</v>
          </cell>
        </row>
        <row r="1912">
          <cell r="A1912">
            <v>5</v>
          </cell>
          <cell r="B1912">
            <v>9</v>
          </cell>
          <cell r="C1912">
            <v>186</v>
          </cell>
          <cell r="D1912" t="str">
            <v xml:space="preserve">  </v>
          </cell>
          <cell r="E1912">
            <v>1916</v>
          </cell>
          <cell r="F1912" t="str">
            <v xml:space="preserve">   </v>
          </cell>
          <cell r="G1912">
            <v>591861916</v>
          </cell>
          <cell r="H1912">
            <v>1804830.19</v>
          </cell>
          <cell r="I1912">
            <v>0</v>
          </cell>
          <cell r="J1912">
            <v>1361578.35</v>
          </cell>
          <cell r="K1912">
            <v>443251.84</v>
          </cell>
          <cell r="L1912">
            <v>0</v>
          </cell>
        </row>
        <row r="1913">
          <cell r="A1913">
            <v>3</v>
          </cell>
          <cell r="B1913">
            <v>9</v>
          </cell>
          <cell r="C1913">
            <v>186</v>
          </cell>
          <cell r="D1913" t="str">
            <v xml:space="preserve">  </v>
          </cell>
          <cell r="E1913">
            <v>1947</v>
          </cell>
          <cell r="F1913" t="str">
            <v xml:space="preserve">   </v>
          </cell>
          <cell r="G1913">
            <v>391861947</v>
          </cell>
          <cell r="H1913">
            <v>170978.24</v>
          </cell>
          <cell r="I1913">
            <v>0</v>
          </cell>
          <cell r="J1913">
            <v>107567.7</v>
          </cell>
          <cell r="K1913">
            <v>63410.54</v>
          </cell>
          <cell r="L1913">
            <v>0</v>
          </cell>
        </row>
        <row r="1914">
          <cell r="A1914">
            <v>4</v>
          </cell>
          <cell r="B1914">
            <v>9</v>
          </cell>
          <cell r="C1914">
            <v>186</v>
          </cell>
          <cell r="D1914" t="str">
            <v xml:space="preserve">  </v>
          </cell>
          <cell r="E1914">
            <v>1947</v>
          </cell>
          <cell r="F1914" t="str">
            <v xml:space="preserve">   </v>
          </cell>
          <cell r="G1914">
            <v>491861947</v>
          </cell>
          <cell r="H1914">
            <v>210936.23</v>
          </cell>
          <cell r="I1914">
            <v>0</v>
          </cell>
          <cell r="J1914">
            <v>135167.18</v>
          </cell>
          <cell r="K1914">
            <v>75769.06</v>
          </cell>
          <cell r="L1914">
            <v>0</v>
          </cell>
        </row>
        <row r="1915">
          <cell r="A1915">
            <v>5</v>
          </cell>
          <cell r="B1915">
            <v>9</v>
          </cell>
          <cell r="C1915">
            <v>186</v>
          </cell>
          <cell r="D1915" t="str">
            <v xml:space="preserve">  </v>
          </cell>
          <cell r="E1915">
            <v>1947</v>
          </cell>
          <cell r="F1915" t="str">
            <v xml:space="preserve">   </v>
          </cell>
          <cell r="G1915">
            <v>591861947</v>
          </cell>
          <cell r="H1915">
            <v>174308.1</v>
          </cell>
          <cell r="I1915">
            <v>0</v>
          </cell>
          <cell r="J1915">
            <v>109867.66</v>
          </cell>
          <cell r="K1915">
            <v>64440.44</v>
          </cell>
          <cell r="L1915">
            <v>0</v>
          </cell>
        </row>
        <row r="1916">
          <cell r="A1916">
            <v>3</v>
          </cell>
          <cell r="B1916">
            <v>9</v>
          </cell>
          <cell r="C1916">
            <v>186</v>
          </cell>
          <cell r="D1916" t="str">
            <v xml:space="preserve">  </v>
          </cell>
          <cell r="E1916">
            <v>1948</v>
          </cell>
          <cell r="F1916" t="str">
            <v xml:space="preserve">   </v>
          </cell>
          <cell r="G1916">
            <v>391861948</v>
          </cell>
          <cell r="H1916">
            <v>1880781.55</v>
          </cell>
          <cell r="I1916">
            <v>0</v>
          </cell>
          <cell r="J1916">
            <v>1282693.06</v>
          </cell>
          <cell r="K1916">
            <v>598088.49</v>
          </cell>
          <cell r="L1916">
            <v>0</v>
          </cell>
        </row>
        <row r="1917">
          <cell r="A1917">
            <v>4</v>
          </cell>
          <cell r="B1917">
            <v>9</v>
          </cell>
          <cell r="C1917">
            <v>186</v>
          </cell>
          <cell r="D1917" t="str">
            <v xml:space="preserve">  </v>
          </cell>
          <cell r="E1917">
            <v>1948</v>
          </cell>
          <cell r="F1917" t="str">
            <v xml:space="preserve">   </v>
          </cell>
          <cell r="G1917">
            <v>491861948</v>
          </cell>
          <cell r="H1917">
            <v>1972668.51</v>
          </cell>
          <cell r="I1917">
            <v>0</v>
          </cell>
          <cell r="J1917">
            <v>1349479.15</v>
          </cell>
          <cell r="K1917">
            <v>623189.36</v>
          </cell>
          <cell r="L1917">
            <v>0</v>
          </cell>
        </row>
        <row r="1918">
          <cell r="A1918">
            <v>5</v>
          </cell>
          <cell r="B1918">
            <v>9</v>
          </cell>
          <cell r="C1918">
            <v>186</v>
          </cell>
          <cell r="D1918" t="str">
            <v xml:space="preserve">  </v>
          </cell>
          <cell r="E1918">
            <v>1948</v>
          </cell>
          <cell r="F1918" t="str">
            <v xml:space="preserve">   </v>
          </cell>
          <cell r="G1918">
            <v>591861948</v>
          </cell>
          <cell r="H1918">
            <v>1888438.83</v>
          </cell>
          <cell r="I1918">
            <v>0</v>
          </cell>
          <cell r="J1918">
            <v>1288258.6000000001</v>
          </cell>
          <cell r="K1918">
            <v>600180.23</v>
          </cell>
          <cell r="L1918">
            <v>0</v>
          </cell>
        </row>
        <row r="1919">
          <cell r="A1919">
            <v>3</v>
          </cell>
          <cell r="B1919">
            <v>9</v>
          </cell>
          <cell r="C1919">
            <v>186</v>
          </cell>
          <cell r="D1919" t="str">
            <v xml:space="preserve">  </v>
          </cell>
          <cell r="E1919">
            <v>1949</v>
          </cell>
          <cell r="F1919" t="str">
            <v xml:space="preserve">   </v>
          </cell>
          <cell r="G1919">
            <v>391861949</v>
          </cell>
          <cell r="H1919">
            <v>1668984.76</v>
          </cell>
          <cell r="I1919">
            <v>0</v>
          </cell>
          <cell r="J1919">
            <v>1138353.9099999999</v>
          </cell>
          <cell r="K1919">
            <v>530630.85</v>
          </cell>
          <cell r="L1919">
            <v>0</v>
          </cell>
        </row>
        <row r="1920">
          <cell r="A1920">
            <v>4</v>
          </cell>
          <cell r="B1920">
            <v>9</v>
          </cell>
          <cell r="C1920">
            <v>186</v>
          </cell>
          <cell r="D1920" t="str">
            <v xml:space="preserve">  </v>
          </cell>
          <cell r="E1920">
            <v>1949</v>
          </cell>
          <cell r="F1920" t="str">
            <v xml:space="preserve">   </v>
          </cell>
          <cell r="G1920">
            <v>491861949</v>
          </cell>
          <cell r="H1920">
            <v>1754673.55</v>
          </cell>
          <cell r="I1920">
            <v>0</v>
          </cell>
          <cell r="J1920">
            <v>1199322.03</v>
          </cell>
          <cell r="K1920">
            <v>555351.53</v>
          </cell>
          <cell r="L1920">
            <v>0</v>
          </cell>
        </row>
        <row r="1921">
          <cell r="A1921">
            <v>5</v>
          </cell>
          <cell r="B1921">
            <v>9</v>
          </cell>
          <cell r="C1921">
            <v>186</v>
          </cell>
          <cell r="D1921" t="str">
            <v xml:space="preserve">  </v>
          </cell>
          <cell r="E1921">
            <v>1949</v>
          </cell>
          <cell r="F1921" t="str">
            <v xml:space="preserve">   </v>
          </cell>
          <cell r="G1921">
            <v>591861949</v>
          </cell>
          <cell r="H1921">
            <v>1676125.48</v>
          </cell>
          <cell r="I1921">
            <v>0</v>
          </cell>
          <cell r="J1921">
            <v>1143434.5900000001</v>
          </cell>
          <cell r="K1921">
            <v>532690.9</v>
          </cell>
          <cell r="L1921">
            <v>0</v>
          </cell>
        </row>
        <row r="1922">
          <cell r="A1922">
            <v>3</v>
          </cell>
          <cell r="B1922">
            <v>9</v>
          </cell>
          <cell r="C1922">
            <v>186</v>
          </cell>
          <cell r="D1922" t="str">
            <v xml:space="preserve">  </v>
          </cell>
          <cell r="E1922">
            <v>1950</v>
          </cell>
          <cell r="F1922" t="str">
            <v xml:space="preserve">   </v>
          </cell>
          <cell r="G1922">
            <v>391861950</v>
          </cell>
          <cell r="H1922">
            <v>620736.65</v>
          </cell>
          <cell r="I1922">
            <v>0</v>
          </cell>
          <cell r="J1922">
            <v>465822.66</v>
          </cell>
          <cell r="K1922">
            <v>154913.99</v>
          </cell>
          <cell r="L1922">
            <v>0</v>
          </cell>
        </row>
        <row r="1923">
          <cell r="A1923">
            <v>4</v>
          </cell>
          <cell r="B1923">
            <v>9</v>
          </cell>
          <cell r="C1923">
            <v>186</v>
          </cell>
          <cell r="D1923" t="str">
            <v xml:space="preserve">  </v>
          </cell>
          <cell r="E1923">
            <v>1950</v>
          </cell>
          <cell r="F1923" t="str">
            <v xml:space="preserve">   </v>
          </cell>
          <cell r="G1923">
            <v>491861950</v>
          </cell>
          <cell r="H1923">
            <v>649053.28</v>
          </cell>
          <cell r="I1923">
            <v>0</v>
          </cell>
          <cell r="J1923">
            <v>487953.49</v>
          </cell>
          <cell r="K1923">
            <v>161099.79</v>
          </cell>
          <cell r="L1923">
            <v>0</v>
          </cell>
        </row>
        <row r="1924">
          <cell r="A1924">
            <v>5</v>
          </cell>
          <cell r="B1924">
            <v>9</v>
          </cell>
          <cell r="C1924">
            <v>186</v>
          </cell>
          <cell r="D1924" t="str">
            <v xml:space="preserve">  </v>
          </cell>
          <cell r="E1924">
            <v>1950</v>
          </cell>
          <cell r="F1924" t="str">
            <v xml:space="preserve">   </v>
          </cell>
          <cell r="G1924">
            <v>591861950</v>
          </cell>
          <cell r="H1924">
            <v>623096.39</v>
          </cell>
          <cell r="I1924">
            <v>0</v>
          </cell>
          <cell r="J1924">
            <v>467666.91</v>
          </cell>
          <cell r="K1924">
            <v>155429.48000000001</v>
          </cell>
          <cell r="L1924">
            <v>0</v>
          </cell>
        </row>
        <row r="1925">
          <cell r="A1925">
            <v>3</v>
          </cell>
          <cell r="B1925">
            <v>9</v>
          </cell>
          <cell r="C1925">
            <v>186</v>
          </cell>
          <cell r="D1925" t="str">
            <v xml:space="preserve">  </v>
          </cell>
          <cell r="E1925">
            <v>1951</v>
          </cell>
          <cell r="F1925" t="str">
            <v xml:space="preserve">   </v>
          </cell>
          <cell r="G1925">
            <v>391861951</v>
          </cell>
          <cell r="H1925">
            <v>214216.01</v>
          </cell>
          <cell r="I1925">
            <v>0</v>
          </cell>
          <cell r="J1925">
            <v>161656.68</v>
          </cell>
          <cell r="K1925">
            <v>52559.33</v>
          </cell>
          <cell r="L1925">
            <v>0</v>
          </cell>
        </row>
        <row r="1926">
          <cell r="A1926">
            <v>4</v>
          </cell>
          <cell r="B1926">
            <v>9</v>
          </cell>
          <cell r="C1926">
            <v>186</v>
          </cell>
          <cell r="D1926" t="str">
            <v xml:space="preserve">  </v>
          </cell>
          <cell r="E1926">
            <v>1951</v>
          </cell>
          <cell r="F1926" t="str">
            <v xml:space="preserve">   </v>
          </cell>
          <cell r="G1926">
            <v>491861951</v>
          </cell>
          <cell r="H1926">
            <v>224015.08</v>
          </cell>
          <cell r="I1926">
            <v>0</v>
          </cell>
          <cell r="J1926">
            <v>169353.95</v>
          </cell>
          <cell r="K1926">
            <v>54661.13</v>
          </cell>
          <cell r="L1926">
            <v>0</v>
          </cell>
        </row>
        <row r="1927">
          <cell r="A1927">
            <v>5</v>
          </cell>
          <cell r="B1927">
            <v>9</v>
          </cell>
          <cell r="C1927">
            <v>186</v>
          </cell>
          <cell r="D1927" t="str">
            <v xml:space="preserve">  </v>
          </cell>
          <cell r="E1927">
            <v>1951</v>
          </cell>
          <cell r="F1927" t="str">
            <v xml:space="preserve">   </v>
          </cell>
          <cell r="G1927">
            <v>591861951</v>
          </cell>
          <cell r="H1927">
            <v>215032.62</v>
          </cell>
          <cell r="I1927">
            <v>0</v>
          </cell>
          <cell r="J1927">
            <v>162298.14000000001</v>
          </cell>
          <cell r="K1927">
            <v>52734.48</v>
          </cell>
          <cell r="L1927">
            <v>0</v>
          </cell>
        </row>
        <row r="1928">
          <cell r="A1928">
            <v>3</v>
          </cell>
          <cell r="B1928">
            <v>9</v>
          </cell>
          <cell r="C1928">
            <v>186</v>
          </cell>
          <cell r="D1928" t="str">
            <v xml:space="preserve">  </v>
          </cell>
          <cell r="E1928">
            <v>1952</v>
          </cell>
          <cell r="F1928" t="str">
            <v xml:space="preserve">   </v>
          </cell>
          <cell r="G1928">
            <v>391861952</v>
          </cell>
          <cell r="H1928">
            <v>2443330</v>
          </cell>
          <cell r="I1928">
            <v>0</v>
          </cell>
          <cell r="J1928">
            <v>1827592.58</v>
          </cell>
          <cell r="K1928">
            <v>615737.42000000004</v>
          </cell>
          <cell r="L1928">
            <v>0</v>
          </cell>
        </row>
        <row r="1929">
          <cell r="A1929">
            <v>4</v>
          </cell>
          <cell r="B1929">
            <v>9</v>
          </cell>
          <cell r="C1929">
            <v>186</v>
          </cell>
          <cell r="D1929" t="str">
            <v xml:space="preserve">  </v>
          </cell>
          <cell r="E1929">
            <v>1952</v>
          </cell>
          <cell r="F1929" t="str">
            <v xml:space="preserve">   </v>
          </cell>
          <cell r="G1929">
            <v>491861952</v>
          </cell>
          <cell r="H1929">
            <v>2547418.96</v>
          </cell>
          <cell r="I1929">
            <v>0</v>
          </cell>
          <cell r="J1929">
            <v>1907052.24</v>
          </cell>
          <cell r="K1929">
            <v>640366.72</v>
          </cell>
          <cell r="L1929">
            <v>0</v>
          </cell>
        </row>
        <row r="1930">
          <cell r="A1930">
            <v>5</v>
          </cell>
          <cell r="B1930">
            <v>9</v>
          </cell>
          <cell r="C1930">
            <v>186</v>
          </cell>
          <cell r="D1930" t="str">
            <v xml:space="preserve">  </v>
          </cell>
          <cell r="E1930">
            <v>1952</v>
          </cell>
          <cell r="F1930" t="str">
            <v xml:space="preserve">   </v>
          </cell>
          <cell r="G1930">
            <v>591861952</v>
          </cell>
          <cell r="H1930">
            <v>2452004.11</v>
          </cell>
          <cell r="I1930">
            <v>0</v>
          </cell>
          <cell r="J1930">
            <v>1834214.25</v>
          </cell>
          <cell r="K1930">
            <v>617789.86</v>
          </cell>
          <cell r="L1930">
            <v>0</v>
          </cell>
        </row>
        <row r="1931">
          <cell r="A1931">
            <v>3</v>
          </cell>
          <cell r="B1931">
            <v>9</v>
          </cell>
          <cell r="C1931">
            <v>186</v>
          </cell>
          <cell r="D1931" t="str">
            <v xml:space="preserve">  </v>
          </cell>
          <cell r="E1931">
            <v>1953</v>
          </cell>
          <cell r="F1931" t="str">
            <v xml:space="preserve">   </v>
          </cell>
          <cell r="G1931">
            <v>391861953</v>
          </cell>
          <cell r="H1931">
            <v>357799.19</v>
          </cell>
          <cell r="I1931">
            <v>0</v>
          </cell>
          <cell r="J1931">
            <v>267128.82</v>
          </cell>
          <cell r="K1931">
            <v>90670.37</v>
          </cell>
          <cell r="L1931">
            <v>0</v>
          </cell>
        </row>
        <row r="1932">
          <cell r="A1932">
            <v>4</v>
          </cell>
          <cell r="B1932">
            <v>9</v>
          </cell>
          <cell r="C1932">
            <v>186</v>
          </cell>
          <cell r="D1932" t="str">
            <v xml:space="preserve">  </v>
          </cell>
          <cell r="E1932">
            <v>1953</v>
          </cell>
          <cell r="F1932" t="str">
            <v xml:space="preserve">   </v>
          </cell>
          <cell r="G1932">
            <v>491861953</v>
          </cell>
          <cell r="H1932">
            <v>385322.17</v>
          </cell>
          <cell r="I1932">
            <v>0</v>
          </cell>
          <cell r="J1932">
            <v>287677.09000000003</v>
          </cell>
          <cell r="K1932">
            <v>97645.08</v>
          </cell>
          <cell r="L1932">
            <v>0</v>
          </cell>
        </row>
        <row r="1933">
          <cell r="A1933">
            <v>5</v>
          </cell>
          <cell r="B1933">
            <v>9</v>
          </cell>
          <cell r="C1933">
            <v>186</v>
          </cell>
          <cell r="D1933" t="str">
            <v xml:space="preserve">  </v>
          </cell>
          <cell r="E1933">
            <v>1953</v>
          </cell>
          <cell r="F1933" t="str">
            <v xml:space="preserve">   </v>
          </cell>
          <cell r="G1933">
            <v>591861953</v>
          </cell>
          <cell r="H1933">
            <v>360092.77</v>
          </cell>
          <cell r="I1933">
            <v>0</v>
          </cell>
          <cell r="J1933">
            <v>268841.17</v>
          </cell>
          <cell r="K1933">
            <v>91251.6</v>
          </cell>
          <cell r="L1933">
            <v>0</v>
          </cell>
        </row>
        <row r="1934">
          <cell r="A1934">
            <v>3</v>
          </cell>
          <cell r="B1934">
            <v>9</v>
          </cell>
          <cell r="C1934">
            <v>186</v>
          </cell>
          <cell r="D1934" t="str">
            <v xml:space="preserve">  </v>
          </cell>
          <cell r="E1934">
            <v>1973</v>
          </cell>
          <cell r="F1934" t="str">
            <v xml:space="preserve">   </v>
          </cell>
          <cell r="G1934">
            <v>391861973</v>
          </cell>
          <cell r="H1934">
            <v>296770.33</v>
          </cell>
          <cell r="I1934">
            <v>0</v>
          </cell>
          <cell r="J1934">
            <v>203158.56</v>
          </cell>
          <cell r="K1934">
            <v>93611.77</v>
          </cell>
          <cell r="L1934">
            <v>0</v>
          </cell>
        </row>
        <row r="1935">
          <cell r="A1935">
            <v>4</v>
          </cell>
          <cell r="B1935">
            <v>9</v>
          </cell>
          <cell r="C1935">
            <v>186</v>
          </cell>
          <cell r="D1935" t="str">
            <v xml:space="preserve">  </v>
          </cell>
          <cell r="E1935">
            <v>1973</v>
          </cell>
          <cell r="F1935" t="str">
            <v xml:space="preserve">   </v>
          </cell>
          <cell r="G1935">
            <v>491861973</v>
          </cell>
          <cell r="H1935">
            <v>311072.99</v>
          </cell>
          <cell r="I1935">
            <v>0</v>
          </cell>
          <cell r="J1935">
            <v>213099.58</v>
          </cell>
          <cell r="K1935">
            <v>97973.42</v>
          </cell>
          <cell r="L1935">
            <v>0</v>
          </cell>
        </row>
        <row r="1936">
          <cell r="A1936">
            <v>5</v>
          </cell>
          <cell r="B1936">
            <v>9</v>
          </cell>
          <cell r="C1936">
            <v>186</v>
          </cell>
          <cell r="D1936" t="str">
            <v xml:space="preserve">  </v>
          </cell>
          <cell r="E1936">
            <v>1973</v>
          </cell>
          <cell r="F1936" t="str">
            <v xml:space="preserve">   </v>
          </cell>
          <cell r="G1936">
            <v>591861973</v>
          </cell>
          <cell r="H1936">
            <v>297962.23999999999</v>
          </cell>
          <cell r="I1936">
            <v>0</v>
          </cell>
          <cell r="J1936">
            <v>203987.01</v>
          </cell>
          <cell r="K1936">
            <v>93975.24</v>
          </cell>
          <cell r="L1936">
            <v>0</v>
          </cell>
        </row>
        <row r="1937">
          <cell r="A1937">
            <v>3</v>
          </cell>
          <cell r="B1937">
            <v>9</v>
          </cell>
          <cell r="C1937">
            <v>186</v>
          </cell>
          <cell r="D1937" t="str">
            <v xml:space="preserve">  </v>
          </cell>
          <cell r="E1937">
            <v>1974</v>
          </cell>
          <cell r="F1937" t="str">
            <v xml:space="preserve">   </v>
          </cell>
          <cell r="G1937">
            <v>391861974</v>
          </cell>
          <cell r="H1937">
            <v>166004.51</v>
          </cell>
          <cell r="I1937">
            <v>0</v>
          </cell>
          <cell r="J1937">
            <v>112960.67</v>
          </cell>
          <cell r="K1937">
            <v>53043.839999999997</v>
          </cell>
          <cell r="L1937">
            <v>0</v>
          </cell>
        </row>
        <row r="1938">
          <cell r="A1938">
            <v>4</v>
          </cell>
          <cell r="B1938">
            <v>9</v>
          </cell>
          <cell r="C1938">
            <v>186</v>
          </cell>
          <cell r="D1938" t="str">
            <v xml:space="preserve">  </v>
          </cell>
          <cell r="E1938">
            <v>1974</v>
          </cell>
          <cell r="F1938" t="str">
            <v xml:space="preserve">   </v>
          </cell>
          <cell r="G1938">
            <v>491861974</v>
          </cell>
          <cell r="H1938">
            <v>174531.83</v>
          </cell>
          <cell r="I1938">
            <v>0</v>
          </cell>
          <cell r="J1938">
            <v>119035.71</v>
          </cell>
          <cell r="K1938">
            <v>55496.12</v>
          </cell>
          <cell r="L1938">
            <v>0</v>
          </cell>
        </row>
        <row r="1939">
          <cell r="A1939">
            <v>5</v>
          </cell>
          <cell r="B1939">
            <v>9</v>
          </cell>
          <cell r="C1939">
            <v>186</v>
          </cell>
          <cell r="D1939" t="str">
            <v xml:space="preserve">  </v>
          </cell>
          <cell r="E1939">
            <v>1974</v>
          </cell>
          <cell r="F1939" t="str">
            <v xml:space="preserve">   </v>
          </cell>
          <cell r="G1939">
            <v>591861974</v>
          </cell>
          <cell r="H1939">
            <v>166715.13</v>
          </cell>
          <cell r="I1939">
            <v>0</v>
          </cell>
          <cell r="J1939">
            <v>113466.92</v>
          </cell>
          <cell r="K1939">
            <v>53248.21</v>
          </cell>
          <cell r="L1939">
            <v>0</v>
          </cell>
        </row>
        <row r="1940">
          <cell r="A1940">
            <v>3</v>
          </cell>
          <cell r="B1940">
            <v>9</v>
          </cell>
          <cell r="C1940">
            <v>186</v>
          </cell>
          <cell r="D1940" t="str">
            <v xml:space="preserve">  </v>
          </cell>
          <cell r="E1940">
            <v>1975</v>
          </cell>
          <cell r="F1940" t="str">
            <v xml:space="preserve">   </v>
          </cell>
          <cell r="G1940">
            <v>391861975</v>
          </cell>
          <cell r="H1940">
            <v>460865.39</v>
          </cell>
          <cell r="I1940">
            <v>0</v>
          </cell>
          <cell r="J1940">
            <v>308265.2</v>
          </cell>
          <cell r="K1940">
            <v>152600.19</v>
          </cell>
          <cell r="L1940">
            <v>0</v>
          </cell>
        </row>
        <row r="1941">
          <cell r="A1941">
            <v>4</v>
          </cell>
          <cell r="B1941">
            <v>9</v>
          </cell>
          <cell r="C1941">
            <v>186</v>
          </cell>
          <cell r="D1941" t="str">
            <v xml:space="preserve">  </v>
          </cell>
          <cell r="E1941">
            <v>1975</v>
          </cell>
          <cell r="F1941" t="str">
            <v xml:space="preserve">   </v>
          </cell>
          <cell r="G1941">
            <v>491861975</v>
          </cell>
          <cell r="H1941">
            <v>484812.98</v>
          </cell>
          <cell r="I1941">
            <v>0</v>
          </cell>
          <cell r="J1941">
            <v>325097.81</v>
          </cell>
          <cell r="K1941">
            <v>159715.18</v>
          </cell>
          <cell r="L1941">
            <v>0</v>
          </cell>
        </row>
        <row r="1942">
          <cell r="A1942">
            <v>5</v>
          </cell>
          <cell r="B1942">
            <v>9</v>
          </cell>
          <cell r="C1942">
            <v>186</v>
          </cell>
          <cell r="D1942" t="str">
            <v xml:space="preserve">  </v>
          </cell>
          <cell r="E1942">
            <v>1975</v>
          </cell>
          <cell r="F1942" t="str">
            <v xml:space="preserve">   </v>
          </cell>
          <cell r="G1942">
            <v>591861975</v>
          </cell>
          <cell r="H1942">
            <v>462861.01</v>
          </cell>
          <cell r="I1942">
            <v>0</v>
          </cell>
          <cell r="J1942">
            <v>309667.92</v>
          </cell>
          <cell r="K1942">
            <v>153193.1</v>
          </cell>
          <cell r="L1942">
            <v>0</v>
          </cell>
        </row>
        <row r="1943">
          <cell r="A1943">
            <v>3</v>
          </cell>
          <cell r="B1943">
            <v>9</v>
          </cell>
          <cell r="C1943">
            <v>186</v>
          </cell>
          <cell r="D1943" t="str">
            <v xml:space="preserve">  </v>
          </cell>
          <cell r="E1943">
            <v>1976</v>
          </cell>
          <cell r="F1943" t="str">
            <v xml:space="preserve">   </v>
          </cell>
          <cell r="G1943">
            <v>391861976</v>
          </cell>
          <cell r="H1943">
            <v>591724.79</v>
          </cell>
          <cell r="I1943">
            <v>0</v>
          </cell>
          <cell r="J1943">
            <v>380528.91</v>
          </cell>
          <cell r="K1943">
            <v>211195.88</v>
          </cell>
          <cell r="L1943">
            <v>0</v>
          </cell>
        </row>
        <row r="1944">
          <cell r="A1944">
            <v>4</v>
          </cell>
          <cell r="B1944">
            <v>9</v>
          </cell>
          <cell r="C1944">
            <v>186</v>
          </cell>
          <cell r="D1944" t="str">
            <v xml:space="preserve">  </v>
          </cell>
          <cell r="E1944">
            <v>1976</v>
          </cell>
          <cell r="F1944" t="str">
            <v xml:space="preserve">   </v>
          </cell>
          <cell r="G1944">
            <v>491861976</v>
          </cell>
          <cell r="H1944">
            <v>653652.49</v>
          </cell>
          <cell r="I1944">
            <v>0</v>
          </cell>
          <cell r="J1944">
            <v>423311.13</v>
          </cell>
          <cell r="K1944">
            <v>230341.37</v>
          </cell>
          <cell r="L1944">
            <v>0</v>
          </cell>
        </row>
        <row r="1945">
          <cell r="A1945">
            <v>5</v>
          </cell>
          <cell r="B1945">
            <v>9</v>
          </cell>
          <cell r="C1945">
            <v>186</v>
          </cell>
          <cell r="D1945" t="str">
            <v xml:space="preserve">  </v>
          </cell>
          <cell r="E1945">
            <v>1976</v>
          </cell>
          <cell r="F1945" t="str">
            <v xml:space="preserve">   </v>
          </cell>
          <cell r="G1945">
            <v>591861976</v>
          </cell>
          <cell r="H1945">
            <v>596885.44999999995</v>
          </cell>
          <cell r="I1945">
            <v>0</v>
          </cell>
          <cell r="J1945">
            <v>384094.11</v>
          </cell>
          <cell r="K1945">
            <v>212791.34</v>
          </cell>
          <cell r="L1945">
            <v>0</v>
          </cell>
        </row>
        <row r="1946">
          <cell r="A1946">
            <v>3</v>
          </cell>
          <cell r="B1946">
            <v>9</v>
          </cell>
          <cell r="C1946">
            <v>186</v>
          </cell>
          <cell r="D1946" t="str">
            <v xml:space="preserve">  </v>
          </cell>
          <cell r="E1946">
            <v>1977</v>
          </cell>
          <cell r="F1946" t="str">
            <v xml:space="preserve">   </v>
          </cell>
          <cell r="G1946">
            <v>391861977</v>
          </cell>
          <cell r="H1946">
            <v>1151618.4099999999</v>
          </cell>
          <cell r="I1946">
            <v>0</v>
          </cell>
          <cell r="J1946">
            <v>784658.55</v>
          </cell>
          <cell r="K1946">
            <v>366959.86</v>
          </cell>
          <cell r="L1946">
            <v>0</v>
          </cell>
        </row>
        <row r="1947">
          <cell r="A1947">
            <v>4</v>
          </cell>
          <cell r="B1947">
            <v>9</v>
          </cell>
          <cell r="C1947">
            <v>186</v>
          </cell>
          <cell r="D1947" t="str">
            <v xml:space="preserve">  </v>
          </cell>
          <cell r="E1947">
            <v>1977</v>
          </cell>
          <cell r="F1947" t="str">
            <v xml:space="preserve">   </v>
          </cell>
          <cell r="G1947">
            <v>491861977</v>
          </cell>
          <cell r="H1947">
            <v>1211676</v>
          </cell>
          <cell r="I1947">
            <v>0</v>
          </cell>
          <cell r="J1947">
            <v>827445.83</v>
          </cell>
          <cell r="K1947">
            <v>384230.17</v>
          </cell>
          <cell r="L1947">
            <v>0</v>
          </cell>
        </row>
        <row r="1948">
          <cell r="A1948">
            <v>5</v>
          </cell>
          <cell r="B1948">
            <v>9</v>
          </cell>
          <cell r="C1948">
            <v>186</v>
          </cell>
          <cell r="D1948" t="str">
            <v xml:space="preserve">  </v>
          </cell>
          <cell r="E1948">
            <v>1977</v>
          </cell>
          <cell r="F1948" t="str">
            <v xml:space="preserve">   </v>
          </cell>
          <cell r="G1948">
            <v>591861977</v>
          </cell>
          <cell r="H1948">
            <v>1156623.23</v>
          </cell>
          <cell r="I1948">
            <v>0</v>
          </cell>
          <cell r="J1948">
            <v>788224.17</v>
          </cell>
          <cell r="K1948">
            <v>368399.06</v>
          </cell>
          <cell r="L1948">
            <v>0</v>
          </cell>
        </row>
        <row r="1949">
          <cell r="A1949">
            <v>3</v>
          </cell>
          <cell r="B1949">
            <v>9</v>
          </cell>
          <cell r="C1949">
            <v>186</v>
          </cell>
          <cell r="D1949" t="str">
            <v xml:space="preserve">  </v>
          </cell>
          <cell r="E1949">
            <v>1978</v>
          </cell>
          <cell r="F1949" t="str">
            <v xml:space="preserve">   </v>
          </cell>
          <cell r="G1949">
            <v>391861978</v>
          </cell>
          <cell r="H1949">
            <v>481803.83</v>
          </cell>
          <cell r="I1949">
            <v>0</v>
          </cell>
          <cell r="J1949">
            <v>363919.52</v>
          </cell>
          <cell r="K1949">
            <v>117884.31</v>
          </cell>
          <cell r="L1949">
            <v>0</v>
          </cell>
        </row>
        <row r="1950">
          <cell r="A1950">
            <v>4</v>
          </cell>
          <cell r="B1950">
            <v>9</v>
          </cell>
          <cell r="C1950">
            <v>186</v>
          </cell>
          <cell r="D1950" t="str">
            <v xml:space="preserve">  </v>
          </cell>
          <cell r="E1950">
            <v>1978</v>
          </cell>
          <cell r="F1950" t="str">
            <v xml:space="preserve">   </v>
          </cell>
          <cell r="G1950">
            <v>491861978</v>
          </cell>
          <cell r="H1950">
            <v>518868.43</v>
          </cell>
          <cell r="I1950">
            <v>0</v>
          </cell>
          <cell r="J1950">
            <v>391915.38</v>
          </cell>
          <cell r="K1950">
            <v>126953.05</v>
          </cell>
          <cell r="L1950">
            <v>0</v>
          </cell>
        </row>
        <row r="1951">
          <cell r="A1951">
            <v>5</v>
          </cell>
          <cell r="B1951">
            <v>9</v>
          </cell>
          <cell r="C1951">
            <v>186</v>
          </cell>
          <cell r="D1951" t="str">
            <v xml:space="preserve">  </v>
          </cell>
          <cell r="E1951">
            <v>1978</v>
          </cell>
          <cell r="F1951" t="str">
            <v xml:space="preserve">   </v>
          </cell>
          <cell r="G1951">
            <v>591861978</v>
          </cell>
          <cell r="H1951">
            <v>484892.55</v>
          </cell>
          <cell r="I1951">
            <v>0</v>
          </cell>
          <cell r="J1951">
            <v>366252.5</v>
          </cell>
          <cell r="K1951">
            <v>118640.05</v>
          </cell>
          <cell r="L195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13R"/>
      <sheetName val="Exh. No. BGM-13R -2"/>
      <sheetName val="Exh. No. BGM-13R -3"/>
      <sheetName val="Exh. No. BGM-13R -4"/>
      <sheetName val="Exh. No. BGM-13R -5"/>
      <sheetName val="DEBT CALC"/>
      <sheetName val="LEAD SHEETS-DO NOT ENTER"/>
      <sheetName val="ADJ SUMMARY"/>
      <sheetName val="ROO INPUT"/>
      <sheetName val="COMPARISON"/>
    </sheetNames>
    <sheetDataSet>
      <sheetData sheetId="0">
        <row r="25">
          <cell r="W25">
            <v>330.47300000000001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3 1"/>
      <sheetName val="Exh. No. BGM-3 2"/>
      <sheetName val="Exh. No. BGM-3 3"/>
      <sheetName val="Exh. No. BGM-3 4"/>
      <sheetName val="Acerno_Cache_XXXXX"/>
      <sheetName val="Workpapers-&gt;"/>
      <sheetName val="ADJ SUMMARY"/>
      <sheetName val="LEAD SHEETS-DO NOT ENTER"/>
      <sheetName val="ROO INPUT"/>
      <sheetName val="DEBT CALC"/>
      <sheetName val="COMPARISON"/>
      <sheetName val="PROPOSED RATES-2018-NOT USED"/>
      <sheetName val="RETAIL REVENUE CREDIT-not used"/>
      <sheetName val="PROPOSED RATES-2019-not used"/>
    </sheetNames>
    <sheetDataSet>
      <sheetData sheetId="0">
        <row r="10">
          <cell r="AJ10">
            <v>5.1948000000000001E-2</v>
          </cell>
        </row>
      </sheetData>
      <sheetData sheetId="1">
        <row r="10">
          <cell r="M10">
            <v>5.1948000000000001E-2</v>
          </cell>
        </row>
      </sheetData>
      <sheetData sheetId="2">
        <row r="12">
          <cell r="E12">
            <v>6.5779999999999996E-3</v>
          </cell>
        </row>
      </sheetData>
      <sheetData sheetId="3">
        <row r="14">
          <cell r="AC14">
            <v>492413</v>
          </cell>
        </row>
      </sheetData>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G-CHK"/>
      <sheetName val="G-CHK-UI"/>
      <sheetName val="G-ALL"/>
      <sheetName val="G-OPS"/>
      <sheetName val="G-495"/>
      <sheetName val="G-804"/>
      <sheetName val="G-908"/>
      <sheetName val="G-INT"/>
      <sheetName val="G-FIT"/>
      <sheetName val="G-SCM"/>
      <sheetName val="G-DTE"/>
      <sheetName val="G-OTX"/>
      <sheetName val="G-PLT"/>
      <sheetName val="G-APL"/>
      <sheetName val="G-DEPX"/>
      <sheetName val="G-AMTX"/>
      <sheetName val="G-ADEP"/>
      <sheetName val="G-AAMT"/>
      <sheetName val="C-GPL"/>
      <sheetName val="C-IPL"/>
      <sheetName val="C-DTX"/>
      <sheetName val="C-WKC"/>
      <sheetName val="G-ROR"/>
    </sheetNames>
    <sheetDataSet>
      <sheetData sheetId="0"/>
      <sheetData sheetId="1">
        <row r="2">
          <cell r="H2">
            <v>12</v>
          </cell>
        </row>
        <row r="3">
          <cell r="H3" t="str">
            <v>A</v>
          </cell>
        </row>
        <row r="4">
          <cell r="H4" t="str">
            <v>For Twelve Months Ended December 31, 2016</v>
          </cell>
        </row>
        <row r="5">
          <cell r="H5" t="str">
            <v>Average of Monthly Averages Basis</v>
          </cell>
        </row>
      </sheetData>
      <sheetData sheetId="2"/>
      <sheetData sheetId="3"/>
      <sheetData sheetId="4">
        <row r="8">
          <cell r="G8">
            <v>1</v>
          </cell>
        </row>
      </sheetData>
      <sheetData sheetId="5">
        <row r="27">
          <cell r="M27">
            <v>220415618</v>
          </cell>
        </row>
      </sheetData>
      <sheetData sheetId="6"/>
      <sheetData sheetId="7"/>
      <sheetData sheetId="8"/>
      <sheetData sheetId="9">
        <row r="18">
          <cell r="G18">
            <v>7827784</v>
          </cell>
        </row>
      </sheetData>
      <sheetData sheetId="10"/>
      <sheetData sheetId="11"/>
      <sheetData sheetId="12"/>
      <sheetData sheetId="13">
        <row r="21">
          <cell r="M21">
            <v>13017005</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MPP-2"/>
      <sheetName val="Exh MPP-2 - ROO Summary Sheet"/>
      <sheetName val="Cover Page MPP-3"/>
      <sheetName val="Exh MPP-3 - Rev Req Calc"/>
      <sheetName val="Cover Page MPP-4"/>
      <sheetName val="Exh MPP-4 - Conversion Factor"/>
      <sheetName val="Cover Page MPP-5"/>
      <sheetName val="Exh MPP-5 - Summary of Adj"/>
      <sheetName val="Cover Page MPP-6"/>
      <sheetName val="MPP-6 - Plant Additions"/>
      <sheetName val="MPP-6 - Supporting Explanations"/>
      <sheetName val="Workpaper - Support Documents &gt;"/>
      <sheetName val="Index"/>
      <sheetName val="Operating Report"/>
      <sheetName val="Rate Base"/>
      <sheetName val="Plant in Serv &amp; Accum Depr"/>
      <sheetName val="Adv for Const. &amp; Def Tax"/>
      <sheetName val="Working Capital"/>
      <sheetName val="Capital Structure Calculation"/>
      <sheetName val="State Allocation Formulas"/>
      <sheetName val="Adjustment Workpapers---&gt;"/>
      <sheetName val="Weather Normalization"/>
      <sheetName val="Advertising Adj"/>
      <sheetName val="Restate Revenues"/>
      <sheetName val="Low-Income Bill Assistance"/>
      <sheetName val="Interest Coord. Adj."/>
      <sheetName val="Pro Forma Wage Adjustment"/>
      <sheetName val="Pro Forma Plant Additions"/>
      <sheetName val="Rate Case Costs"/>
      <sheetName val="Pro Forma Compliance Department"/>
      <sheetName val="MAOP UG-160787 Deferral"/>
      <sheetName val="Miscellaneous Charges"/>
      <sheetName val="CRM Adjustment (a)"/>
      <sheetName val="CRM Adjustment (b)"/>
      <sheetName val="Revenue Adjustment"/>
      <sheetName val="Working Capital Work Paper"/>
    </sheetNames>
    <sheetDataSet>
      <sheetData sheetId="0"/>
      <sheetData sheetId="1"/>
      <sheetData sheetId="2"/>
      <sheetData sheetId="3"/>
      <sheetData sheetId="4"/>
      <sheetData sheetId="5"/>
      <sheetData sheetId="6"/>
      <sheetData sheetId="7">
        <row r="33">
          <cell r="L33">
            <v>274826.90323425876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Summary Sheet"/>
      <sheetName val="Exh KMH-2, ROO Pg 1"/>
      <sheetName val="Exh KMH-2 Adjustments Pg 2"/>
      <sheetName val="Capital Structure Calculation"/>
      <sheetName val="Panco Plant Additions"/>
      <sheetName val="Rev Req Calc"/>
      <sheetName val="Conversion Factor"/>
      <sheetName val="Operating Report"/>
      <sheetName val="KMH Copy of Op Rep"/>
      <sheetName val="k10 wage adj separated wp"/>
      <sheetName val="Rate Base"/>
      <sheetName val="Plant in Serv &amp; Accum Depr"/>
      <sheetName val="Adv for Const. &amp; Def Tax"/>
      <sheetName val="Working Capital"/>
      <sheetName val="State Allocation Formulas"/>
      <sheetName val="Advertising Adj"/>
      <sheetName val="Restate Revenues"/>
      <sheetName val="Low-Income Bill Assistance"/>
      <sheetName val="Interest Coord. Adj."/>
      <sheetName val="k10 Pro Forma Wage Adj"/>
      <sheetName val="Panco Pro Forma Plant Additions"/>
      <sheetName val="Panco Rate Case Costs"/>
      <sheetName val="Panco Pro Forma Compliance Dept"/>
      <sheetName val="White MAOP"/>
      <sheetName val="Miscellaneous Charges"/>
      <sheetName val="CRM Adjustment (a)"/>
      <sheetName val="CRM Adjustment (b)"/>
      <sheetName val="Revenue Adjustment"/>
      <sheetName val="Liu Rev Adj WP"/>
      <sheetName val="Working Capital Work Paper"/>
    </sheetNames>
    <sheetDataSet>
      <sheetData sheetId="0"/>
      <sheetData sheetId="1"/>
      <sheetData sheetId="2">
        <row r="24">
          <cell r="S24">
            <v>7924.4900311199854</v>
          </cell>
        </row>
        <row r="25">
          <cell r="P25">
            <v>67686.843944628941</v>
          </cell>
          <cell r="S25">
            <v>360633.30644631851</v>
          </cell>
          <cell r="W25">
            <v>423708.1</v>
          </cell>
        </row>
        <row r="26">
          <cell r="P26">
            <v>3803.5586400000011</v>
          </cell>
          <cell r="S26">
            <v>40890.445358345853</v>
          </cell>
        </row>
        <row r="29">
          <cell r="P29">
            <v>63.198718416000006</v>
          </cell>
          <cell r="S29">
            <v>220902.64637509634</v>
          </cell>
        </row>
        <row r="32">
          <cell r="P32">
            <v>5473.850499682937</v>
          </cell>
          <cell r="S32">
            <v>38060.85860093237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1">
          <cell r="G21">
            <v>3815260.6046199994</v>
          </cell>
        </row>
        <row r="22">
          <cell r="G22">
            <v>1366547.1302117973</v>
          </cell>
        </row>
      </sheetData>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sheetName val="Sheet1"/>
      <sheetName val="Allocated"/>
    </sheetNames>
    <sheetDataSet>
      <sheetData sheetId="0"/>
      <sheetData sheetId="1">
        <row r="11">
          <cell r="E11">
            <v>46716.092163000001</v>
          </cell>
        </row>
        <row r="12">
          <cell r="E12">
            <v>512889.40365000046</v>
          </cell>
        </row>
        <row r="13">
          <cell r="E13">
            <v>577189.20760800003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N27"/>
  <sheetViews>
    <sheetView workbookViewId="0">
      <selection activeCell="L27" sqref="B4:L27"/>
    </sheetView>
  </sheetViews>
  <sheetFormatPr defaultColWidth="9.140625" defaultRowHeight="15"/>
  <cols>
    <col min="1" max="1" width="9.140625" style="915" customWidth="1"/>
    <col min="2" max="2" width="0.85546875" style="915" customWidth="1"/>
    <col min="3" max="3" width="3.85546875" style="916" bestFit="1" customWidth="1"/>
    <col min="4" max="4" width="0.85546875" style="916" customWidth="1"/>
    <col min="5" max="5" width="8.28515625" style="918" bestFit="1" customWidth="1"/>
    <col min="6" max="6" width="0.85546875" style="915" customWidth="1"/>
    <col min="7" max="7" width="38.140625" style="915" customWidth="1"/>
    <col min="8" max="8" width="0.85546875" style="915" customWidth="1"/>
    <col min="9" max="9" width="11.140625" style="915" customWidth="1"/>
    <col min="10" max="10" width="0.85546875" style="915" customWidth="1"/>
    <col min="11" max="11" width="11.140625" style="915" customWidth="1"/>
    <col min="12" max="12" width="0.85546875" style="915" customWidth="1"/>
    <col min="13" max="13" width="9.140625" style="915"/>
    <col min="14" max="14" width="9.42578125" style="915" bestFit="1" customWidth="1"/>
    <col min="15" max="16384" width="9.140625" style="915"/>
  </cols>
  <sheetData>
    <row r="3" spans="2:12">
      <c r="C3" s="915"/>
      <c r="D3" s="915"/>
      <c r="E3" s="915"/>
    </row>
    <row r="4" spans="2:12" ht="8.25" customHeight="1">
      <c r="B4" s="894"/>
      <c r="C4" s="912"/>
      <c r="D4" s="912"/>
      <c r="E4" s="920"/>
      <c r="F4" s="895"/>
      <c r="G4" s="895"/>
      <c r="H4" s="895"/>
      <c r="I4" s="895"/>
      <c r="J4" s="895"/>
      <c r="K4" s="895"/>
      <c r="L4" s="896"/>
    </row>
    <row r="5" spans="2:12">
      <c r="B5" s="897"/>
      <c r="C5" s="1177" t="s">
        <v>2212</v>
      </c>
      <c r="D5" s="1178"/>
      <c r="E5" s="1179" t="s">
        <v>2213</v>
      </c>
      <c r="F5" s="1178"/>
      <c r="G5" s="1180" t="s">
        <v>370</v>
      </c>
      <c r="H5" s="1181"/>
      <c r="I5" s="1182" t="s">
        <v>2215</v>
      </c>
      <c r="J5" s="1183"/>
      <c r="K5" s="1183"/>
      <c r="L5" s="899"/>
    </row>
    <row r="6" spans="2:12" ht="8.25" customHeight="1">
      <c r="B6" s="897"/>
      <c r="C6" s="913"/>
      <c r="D6" s="911"/>
      <c r="E6" s="919"/>
      <c r="F6" s="898"/>
      <c r="G6" s="905"/>
      <c r="H6" s="905"/>
      <c r="I6" s="906"/>
      <c r="J6" s="906"/>
      <c r="K6" s="906"/>
      <c r="L6" s="899"/>
    </row>
    <row r="7" spans="2:12">
      <c r="B7" s="897"/>
      <c r="C7" s="913">
        <f ca="1">+MAX(OFFSET($C$2,0,0,ROW($C7)-ROW($C$2),1))+1</f>
        <v>1</v>
      </c>
      <c r="D7" s="911"/>
      <c r="E7" s="919"/>
      <c r="F7" s="898"/>
      <c r="G7" s="905" t="s">
        <v>2204</v>
      </c>
      <c r="H7" s="905"/>
      <c r="I7" s="906"/>
      <c r="J7" s="906"/>
      <c r="K7" s="906">
        <f>+'1) Lead Sheet'!M44</f>
        <v>5884.9840152483121</v>
      </c>
      <c r="L7" s="899"/>
    </row>
    <row r="8" spans="2:12" ht="8.25" customHeight="1">
      <c r="B8" s="897"/>
      <c r="C8" s="911"/>
      <c r="D8" s="911"/>
      <c r="E8" s="919"/>
      <c r="F8" s="898"/>
      <c r="G8" s="898"/>
      <c r="H8" s="898"/>
      <c r="I8" s="900"/>
      <c r="J8" s="906"/>
      <c r="K8" s="900"/>
      <c r="L8" s="899"/>
    </row>
    <row r="9" spans="2:12">
      <c r="B9" s="897"/>
      <c r="C9" s="913">
        <f ca="1">+MAX(OFFSET($C$2,0,0,ROW($C9)-ROW($C$2),1))+1</f>
        <v>2</v>
      </c>
      <c r="D9" s="911"/>
      <c r="E9" s="922"/>
      <c r="F9" s="898"/>
      <c r="G9" s="905" t="s">
        <v>2205</v>
      </c>
      <c r="H9" s="898"/>
      <c r="I9" s="900"/>
      <c r="J9" s="906"/>
      <c r="K9" s="900"/>
      <c r="L9" s="899"/>
    </row>
    <row r="10" spans="2:12">
      <c r="B10" s="897"/>
      <c r="C10" s="913">
        <f t="shared" ref="C10:C26" ca="1" si="0">+MAX(OFFSET($C$2,0,0,ROW($C10)-ROW($C$2),1))+1</f>
        <v>3</v>
      </c>
      <c r="D10" s="911"/>
      <c r="E10" s="922" t="s">
        <v>2214</v>
      </c>
      <c r="F10" s="898"/>
      <c r="G10" s="910" t="s">
        <v>2206</v>
      </c>
      <c r="H10" s="898"/>
      <c r="I10" s="900">
        <f>+'1) Lead Sheet'!M46</f>
        <v>-1210.8113633779467</v>
      </c>
      <c r="J10" s="906"/>
      <c r="K10" s="900"/>
      <c r="L10" s="899"/>
    </row>
    <row r="11" spans="2:12">
      <c r="B11" s="897"/>
      <c r="C11" s="913">
        <f t="shared" ca="1" si="0"/>
        <v>4</v>
      </c>
      <c r="D11" s="911"/>
      <c r="E11" s="922" t="s">
        <v>2211</v>
      </c>
      <c r="F11" s="898"/>
      <c r="G11" s="910" t="s">
        <v>967</v>
      </c>
      <c r="H11" s="898"/>
      <c r="I11" s="900">
        <f>+'1) Lead Sheet'!AC24</f>
        <v>-2076.1402023675628</v>
      </c>
      <c r="J11" s="906"/>
      <c r="K11" s="900"/>
      <c r="L11" s="899"/>
    </row>
    <row r="12" spans="2:12">
      <c r="B12" s="897"/>
      <c r="C12" s="913">
        <f t="shared" ca="1" si="0"/>
        <v>5</v>
      </c>
      <c r="D12" s="911"/>
      <c r="E12" s="1239" t="s">
        <v>2316</v>
      </c>
      <c r="F12" s="898"/>
      <c r="G12" s="910" t="s">
        <v>2207</v>
      </c>
      <c r="H12" s="898"/>
      <c r="I12" s="900">
        <f>+'1) Lead Sheet'!AC31</f>
        <v>-571.99796576123185</v>
      </c>
      <c r="J12" s="906"/>
      <c r="K12" s="900"/>
      <c r="L12" s="899"/>
    </row>
    <row r="13" spans="2:12">
      <c r="B13" s="897"/>
      <c r="C13" s="913">
        <f t="shared" ca="1" si="0"/>
        <v>6</v>
      </c>
      <c r="D13" s="911"/>
      <c r="E13" s="1239" t="s">
        <v>2318</v>
      </c>
      <c r="F13" s="898"/>
      <c r="G13" s="910" t="s">
        <v>2303</v>
      </c>
      <c r="H13" s="898"/>
      <c r="I13" s="900">
        <f>+'1) Lead Sheet'!AC32</f>
        <v>-1189.5052928558716</v>
      </c>
      <c r="J13" s="906"/>
      <c r="K13" s="900"/>
      <c r="L13" s="899"/>
    </row>
    <row r="14" spans="2:12">
      <c r="B14" s="897"/>
      <c r="C14" s="913">
        <f ca="1">+MAX(OFFSET($C$2,0,0,ROW($C14)-ROW($C$2),1))+1</f>
        <v>7</v>
      </c>
      <c r="D14" s="911"/>
      <c r="E14" s="1239" t="s">
        <v>2319</v>
      </c>
      <c r="F14" s="898"/>
      <c r="G14" s="910" t="s">
        <v>2302</v>
      </c>
      <c r="H14" s="898"/>
      <c r="I14" s="900">
        <f>+'1) Lead Sheet'!AC33</f>
        <v>-220.52827722253173</v>
      </c>
      <c r="J14" s="906"/>
      <c r="K14" s="900"/>
      <c r="L14" s="899"/>
    </row>
    <row r="15" spans="2:12">
      <c r="B15" s="897"/>
      <c r="C15" s="913">
        <f t="shared" ca="1" si="0"/>
        <v>8</v>
      </c>
      <c r="D15" s="911"/>
      <c r="E15" s="922" t="s">
        <v>913</v>
      </c>
      <c r="F15" s="898"/>
      <c r="G15" s="910" t="s">
        <v>968</v>
      </c>
      <c r="H15" s="898"/>
      <c r="I15" s="900">
        <f>+'1) Lead Sheet'!AC25</f>
        <v>-213.53463783707872</v>
      </c>
      <c r="J15" s="906"/>
      <c r="K15" s="900"/>
      <c r="L15" s="899"/>
    </row>
    <row r="16" spans="2:12">
      <c r="B16" s="897"/>
      <c r="C16" s="913">
        <f t="shared" ca="1" si="0"/>
        <v>9</v>
      </c>
      <c r="D16" s="911"/>
      <c r="E16" s="922" t="s">
        <v>911</v>
      </c>
      <c r="F16" s="898"/>
      <c r="G16" s="910" t="s">
        <v>2275</v>
      </c>
      <c r="H16" s="898"/>
      <c r="I16" s="900">
        <f>+'1) Lead Sheet'!AC22</f>
        <v>181.13012423760301</v>
      </c>
      <c r="J16" s="906"/>
      <c r="K16" s="900"/>
      <c r="L16" s="899"/>
    </row>
    <row r="17" spans="2:14">
      <c r="B17" s="897"/>
      <c r="C17" s="913">
        <f t="shared" ca="1" si="0"/>
        <v>10</v>
      </c>
      <c r="D17" s="911"/>
      <c r="E17" s="1235" t="s">
        <v>2320</v>
      </c>
      <c r="F17" s="1236"/>
      <c r="G17" s="1237" t="s">
        <v>2334</v>
      </c>
      <c r="H17" s="1236"/>
      <c r="I17" s="1238">
        <f>+'1) Lead Sheet'!AC17+'1) Lead Sheet'!AC23</f>
        <v>-724.50166905771005</v>
      </c>
      <c r="J17" s="906"/>
      <c r="K17" s="900"/>
      <c r="L17" s="899"/>
    </row>
    <row r="18" spans="2:14">
      <c r="B18" s="897"/>
      <c r="C18" s="913">
        <f t="shared" ca="1" si="0"/>
        <v>11</v>
      </c>
      <c r="D18" s="911"/>
      <c r="E18" s="1235" t="s">
        <v>2322</v>
      </c>
      <c r="F18" s="1236"/>
      <c r="G18" s="1237" t="s">
        <v>1676</v>
      </c>
      <c r="H18" s="1236"/>
      <c r="I18" s="1238">
        <f>+'1) Lead Sheet'!AC13+'1) Lead Sheet'!AC15+'1) Lead Sheet'!AC30</f>
        <v>-974.48548618254813</v>
      </c>
      <c r="J18" s="906"/>
      <c r="K18" s="900"/>
      <c r="L18" s="899"/>
    </row>
    <row r="19" spans="2:14">
      <c r="B19" s="897"/>
      <c r="C19" s="913">
        <f t="shared" ca="1" si="0"/>
        <v>12</v>
      </c>
      <c r="D19" s="911"/>
      <c r="E19" s="1235" t="s">
        <v>2323</v>
      </c>
      <c r="F19" s="1236"/>
      <c r="G19" s="1237" t="s">
        <v>2321</v>
      </c>
      <c r="H19" s="1236"/>
      <c r="I19" s="1238">
        <f>+'1) Lead Sheet'!AC27</f>
        <v>-560.20303037920667</v>
      </c>
      <c r="J19" s="906"/>
      <c r="K19" s="900"/>
      <c r="L19" s="899"/>
    </row>
    <row r="20" spans="2:14">
      <c r="B20" s="897"/>
      <c r="C20" s="913">
        <f t="shared" ca="1" si="0"/>
        <v>13</v>
      </c>
      <c r="D20" s="911"/>
      <c r="E20" s="922" t="s">
        <v>2114</v>
      </c>
      <c r="F20" s="898"/>
      <c r="G20" s="910" t="s">
        <v>2208</v>
      </c>
      <c r="H20" s="898"/>
      <c r="I20" s="900">
        <f>+'1) Lead Sheet'!AC37</f>
        <v>-4129.1733018155328</v>
      </c>
      <c r="J20" s="906"/>
      <c r="K20" s="900"/>
      <c r="L20" s="899"/>
    </row>
    <row r="21" spans="2:14">
      <c r="B21" s="897"/>
      <c r="C21" s="913">
        <f t="shared" ca="1" si="0"/>
        <v>14</v>
      </c>
      <c r="D21" s="911"/>
      <c r="E21" s="922" t="s">
        <v>2152</v>
      </c>
      <c r="F21" s="898"/>
      <c r="G21" s="910" t="s">
        <v>2194</v>
      </c>
      <c r="H21" s="898"/>
      <c r="I21" s="1238">
        <f>+'1) Lead Sheet'!AC38</f>
        <v>-2386.1219435164512</v>
      </c>
      <c r="J21" s="906"/>
      <c r="K21" s="900"/>
      <c r="L21" s="899"/>
    </row>
    <row r="22" spans="2:14">
      <c r="B22" s="897"/>
      <c r="C22" s="913">
        <f t="shared" ca="1" si="0"/>
        <v>15</v>
      </c>
      <c r="D22" s="911"/>
      <c r="E22" s="922" t="s">
        <v>2153</v>
      </c>
      <c r="F22" s="898"/>
      <c r="G22" s="910" t="s">
        <v>2209</v>
      </c>
      <c r="H22" s="898"/>
      <c r="I22" s="1238">
        <f>+'1) Lead Sheet'!AC39</f>
        <v>-2013.8389745239208</v>
      </c>
      <c r="J22" s="906"/>
      <c r="K22" s="900"/>
      <c r="L22" s="899"/>
    </row>
    <row r="23" spans="2:14">
      <c r="B23" s="897"/>
      <c r="C23" s="913">
        <f t="shared" ca="1" si="0"/>
        <v>16</v>
      </c>
      <c r="D23" s="911"/>
      <c r="E23" s="922" t="s">
        <v>2154</v>
      </c>
      <c r="F23" s="898"/>
      <c r="G23" s="910" t="s">
        <v>2210</v>
      </c>
      <c r="H23" s="898"/>
      <c r="I23" s="901">
        <f>+'1) Lead Sheet'!AC40</f>
        <v>296.94067085798508</v>
      </c>
      <c r="J23" s="906"/>
      <c r="K23" s="901"/>
      <c r="L23" s="899"/>
    </row>
    <row r="24" spans="2:14">
      <c r="B24" s="897"/>
      <c r="C24" s="913">
        <f t="shared" ca="1" si="0"/>
        <v>17</v>
      </c>
      <c r="D24" s="911"/>
      <c r="E24" s="919"/>
      <c r="F24" s="898"/>
      <c r="G24" s="905" t="s">
        <v>2196</v>
      </c>
      <c r="H24" s="898"/>
      <c r="I24" s="906"/>
      <c r="J24" s="906"/>
      <c r="K24" s="906">
        <f>+SUM(I10:I23)</f>
        <v>-15792.771349802006</v>
      </c>
      <c r="L24" s="899"/>
    </row>
    <row r="25" spans="2:14" ht="8.25" customHeight="1">
      <c r="B25" s="897"/>
      <c r="C25" s="911"/>
      <c r="D25" s="911"/>
      <c r="E25" s="919"/>
      <c r="F25" s="898"/>
      <c r="G25" s="898"/>
      <c r="H25" s="898"/>
      <c r="I25" s="900"/>
      <c r="J25" s="906"/>
      <c r="K25" s="900"/>
      <c r="L25" s="899"/>
    </row>
    <row r="26" spans="2:14" ht="15.75" thickBot="1">
      <c r="B26" s="897"/>
      <c r="C26" s="913">
        <f t="shared" ca="1" si="0"/>
        <v>18</v>
      </c>
      <c r="D26" s="911"/>
      <c r="E26" s="919"/>
      <c r="F26" s="898"/>
      <c r="G26" s="905" t="s">
        <v>2335</v>
      </c>
      <c r="H26" s="905"/>
      <c r="I26" s="906"/>
      <c r="J26" s="906"/>
      <c r="K26" s="923">
        <f>+SUM(K7:K24)</f>
        <v>-9907.7873345536937</v>
      </c>
      <c r="L26" s="899"/>
      <c r="N26" s="917">
        <f>+K26-SUM(I10:I23)-K7</f>
        <v>0</v>
      </c>
    </row>
    <row r="27" spans="2:14" ht="8.25" customHeight="1" thickTop="1">
      <c r="B27" s="903"/>
      <c r="C27" s="914"/>
      <c r="D27" s="914"/>
      <c r="E27" s="921"/>
      <c r="F27" s="902"/>
      <c r="G27" s="902"/>
      <c r="H27" s="902"/>
      <c r="I27" s="902"/>
      <c r="J27" s="902"/>
      <c r="K27" s="902"/>
      <c r="L27" s="904"/>
    </row>
  </sheetData>
  <pageMargins left="0.7" right="0.7" top="0.75" bottom="0.75" header="0.3" footer="0.3"/>
  <pageSetup orientation="portrait" r:id="rId1"/>
  <headerFooter>
    <oddFooter>&amp;R&amp;"Times New Roman,Regular"&amp;9 26678.897\4829-5163-7600.v1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32"/>
  <sheetViews>
    <sheetView zoomScaleNormal="100" zoomScaleSheetLayoutView="100" workbookViewId="0"/>
  </sheetViews>
  <sheetFormatPr defaultColWidth="9.140625" defaultRowHeight="12.75"/>
  <cols>
    <col min="1" max="1" width="1.5703125" style="929" customWidth="1"/>
    <col min="2" max="2" width="6.7109375" style="929" customWidth="1"/>
    <col min="3" max="3" width="1.5703125" style="929" customWidth="1"/>
    <col min="4" max="4" width="9.140625" style="929"/>
    <col min="5" max="5" width="1.5703125" style="929" customWidth="1"/>
    <col min="6" max="6" width="37.85546875" style="929" customWidth="1"/>
    <col min="7" max="7" width="1.5703125" style="929" customWidth="1"/>
    <col min="8" max="10" width="10.7109375" style="929" customWidth="1"/>
    <col min="11" max="11" width="1.5703125" style="929" customWidth="1"/>
    <col min="12" max="14" width="10.7109375" style="929" customWidth="1"/>
    <col min="15" max="15" width="1.5703125" style="929" customWidth="1"/>
    <col min="16" max="18" width="10.7109375" style="929" customWidth="1"/>
    <col min="19" max="19" width="1.5703125" style="929" customWidth="1"/>
    <col min="20" max="20" width="10.7109375" style="929" customWidth="1"/>
    <col min="21" max="21" width="1.5703125" style="929" customWidth="1"/>
    <col min="22" max="16384" width="9.140625" style="929"/>
  </cols>
  <sheetData>
    <row r="1" spans="1:21" ht="14.25">
      <c r="A1" s="1164" t="s">
        <v>53</v>
      </c>
    </row>
    <row r="2" spans="1:21" ht="15">
      <c r="A2" s="1175" t="s">
        <v>2295</v>
      </c>
    </row>
    <row r="3" spans="1:21" ht="15">
      <c r="A3" s="1116" t="s">
        <v>971</v>
      </c>
    </row>
    <row r="4" spans="1:21" ht="15">
      <c r="A4" s="1116" t="s">
        <v>2281</v>
      </c>
    </row>
    <row r="5" spans="1:21">
      <c r="H5" s="940" t="s">
        <v>2260</v>
      </c>
      <c r="I5" s="940"/>
      <c r="J5" s="940"/>
      <c r="L5" s="940" t="s">
        <v>2245</v>
      </c>
      <c r="M5" s="940"/>
      <c r="N5" s="940"/>
      <c r="P5" s="940" t="s">
        <v>2259</v>
      </c>
      <c r="Q5" s="940"/>
      <c r="R5" s="940"/>
    </row>
    <row r="6" spans="1:21" s="931" customFormat="1" ht="38.25">
      <c r="B6" s="941" t="s">
        <v>368</v>
      </c>
      <c r="D6" s="941" t="s">
        <v>2261</v>
      </c>
      <c r="F6" s="941" t="s">
        <v>370</v>
      </c>
      <c r="H6" s="944" t="s">
        <v>2239</v>
      </c>
      <c r="I6" s="944" t="s">
        <v>2240</v>
      </c>
      <c r="J6" s="944" t="s">
        <v>2246</v>
      </c>
      <c r="K6" s="945"/>
      <c r="L6" s="944" t="s">
        <v>2243</v>
      </c>
      <c r="M6" s="944" t="s">
        <v>2249</v>
      </c>
      <c r="N6" s="944" t="s">
        <v>2244</v>
      </c>
      <c r="O6" s="945"/>
      <c r="P6" s="944" t="s">
        <v>2239</v>
      </c>
      <c r="Q6" s="944" t="s">
        <v>2240</v>
      </c>
      <c r="R6" s="944" t="s">
        <v>2241</v>
      </c>
      <c r="S6" s="945"/>
      <c r="T6" s="944" t="s">
        <v>2258</v>
      </c>
      <c r="U6" s="948"/>
    </row>
    <row r="7" spans="1:21">
      <c r="F7" s="918"/>
      <c r="G7" s="918"/>
      <c r="H7" s="949" t="s">
        <v>105</v>
      </c>
      <c r="I7" s="949" t="s">
        <v>106</v>
      </c>
      <c r="J7" s="949" t="s">
        <v>2250</v>
      </c>
      <c r="K7" s="949"/>
      <c r="L7" s="949" t="s">
        <v>2251</v>
      </c>
      <c r="M7" s="949" t="s">
        <v>2252</v>
      </c>
      <c r="N7" s="949" t="s">
        <v>2253</v>
      </c>
      <c r="O7" s="949"/>
      <c r="P7" s="949" t="s">
        <v>2254</v>
      </c>
      <c r="Q7" s="949" t="s">
        <v>2255</v>
      </c>
      <c r="R7" s="949" t="s">
        <v>2256</v>
      </c>
      <c r="S7" s="949"/>
      <c r="T7" s="949" t="s">
        <v>2257</v>
      </c>
    </row>
    <row r="8" spans="1:21" ht="9.75" customHeight="1"/>
    <row r="9" spans="1:21">
      <c r="B9" s="828">
        <f ca="1">+MAX(OFFSET($B$1,0,0,ROW($B9)-ROW($B$1),1))+1</f>
        <v>1</v>
      </c>
      <c r="F9" s="929" t="s">
        <v>2242</v>
      </c>
      <c r="H9" s="930">
        <f>+'Operating Report'!G142</f>
        <v>3159842.45</v>
      </c>
      <c r="I9" s="930">
        <f>+'Operating Report'!G144</f>
        <v>1031914.19</v>
      </c>
      <c r="J9" s="930">
        <f>+SUM(H9:I9)</f>
        <v>4191756.64</v>
      </c>
      <c r="K9" s="930"/>
      <c r="L9" s="930">
        <f>+H9/0.35</f>
        <v>9028121.2857142873</v>
      </c>
      <c r="M9" s="930">
        <f t="shared" ref="M9:N9" si="0">+I9/0.35</f>
        <v>2948326.2571428572</v>
      </c>
      <c r="N9" s="930">
        <f t="shared" si="0"/>
        <v>11976447.542857144</v>
      </c>
      <c r="O9" s="930"/>
      <c r="P9" s="930">
        <f>+L9*0.21</f>
        <v>1895905.4700000002</v>
      </c>
      <c r="Q9" s="930">
        <f>+M9*0.21</f>
        <v>619148.51399999997</v>
      </c>
      <c r="R9" s="930">
        <f>+SUM(P9:Q9)</f>
        <v>2515053.9840000002</v>
      </c>
      <c r="T9" s="930">
        <f>+R9-J9</f>
        <v>-1676702.656</v>
      </c>
    </row>
    <row r="10" spans="1:21" ht="9.75" customHeight="1">
      <c r="H10" s="930"/>
      <c r="I10" s="930"/>
      <c r="J10" s="930"/>
      <c r="K10" s="930"/>
      <c r="L10" s="930"/>
      <c r="M10" s="930"/>
      <c r="N10" s="930"/>
      <c r="O10" s="930"/>
      <c r="P10" s="930"/>
      <c r="Q10" s="930"/>
      <c r="R10" s="930"/>
    </row>
    <row r="11" spans="1:21">
      <c r="B11" s="828">
        <f ca="1">+MAX(OFFSET($B$1,0,0,ROW($B11)-ROW($B$1),1))+1</f>
        <v>2</v>
      </c>
      <c r="D11" s="908" t="s">
        <v>909</v>
      </c>
      <c r="E11" s="908"/>
      <c r="F11" s="822" t="str">
        <f>+INDEX('6) Adj Detail'!$6:$6&amp;" "&amp;'6) Adj Detail'!$7:$7&amp;" "&amp;'6) Adj Detail'!$8:$8,1,MATCH($D11,'6) Adj Detail'!$9:$9,0))</f>
        <v>Weather  Normalization Adjustment</v>
      </c>
      <c r="G11" s="822"/>
      <c r="H11" s="930">
        <f>+INDEX('6) Adj Detail'!$29:$29,1,MATCH($D11,'6) Adj Detail'!$9:$9,0))</f>
        <v>1316405.7631083794</v>
      </c>
      <c r="I11" s="930">
        <v>0</v>
      </c>
      <c r="J11" s="930">
        <f t="shared" ref="J11:J27" si="1">+SUM(H11:I11)</f>
        <v>1316405.7631083794</v>
      </c>
      <c r="K11" s="930"/>
      <c r="L11" s="930">
        <f t="shared" ref="L11:L27" si="2">+H11/0.35</f>
        <v>3761159.3231667988</v>
      </c>
      <c r="M11" s="930">
        <f t="shared" ref="M11:M27" si="3">+I11/0.35</f>
        <v>0</v>
      </c>
      <c r="N11" s="930">
        <f t="shared" ref="N11:N27" si="4">+J11/0.35</f>
        <v>3761159.3231667988</v>
      </c>
      <c r="O11" s="930"/>
      <c r="P11" s="930">
        <f t="shared" ref="P11:P27" si="5">+L11*0.21</f>
        <v>789843.45786502771</v>
      </c>
      <c r="Q11" s="930">
        <f t="shared" ref="Q11:Q27" si="6">+M11*0.21</f>
        <v>0</v>
      </c>
      <c r="R11" s="930">
        <f t="shared" ref="R11:R27" si="7">+SUM(P11:Q11)</f>
        <v>789843.45786502771</v>
      </c>
      <c r="T11" s="930">
        <f t="shared" ref="T11:T29" si="8">+R11-J11</f>
        <v>-526562.30524335173</v>
      </c>
    </row>
    <row r="12" spans="1:21">
      <c r="B12" s="828">
        <f ca="1">+MAX(OFFSET($B$1,0,0,ROW($B12)-ROW($B$1),1))+1</f>
        <v>3</v>
      </c>
      <c r="D12" s="908" t="s">
        <v>910</v>
      </c>
      <c r="E12" s="908"/>
      <c r="F12" s="822" t="str">
        <f>+INDEX('6) Adj Detail'!$6:$6&amp;" "&amp;'6) Adj Detail'!$7:$7&amp;" "&amp;'6) Adj Detail'!$8:$8,1,MATCH($D12,'6) Adj Detail'!$9:$9,0))</f>
        <v>Promotional Advertising Adjustment</v>
      </c>
      <c r="G12" s="822"/>
      <c r="H12" s="930">
        <f>+INDEX('6) Adj Detail'!$29:$29,1,MATCH($D12,'6) Adj Detail'!$9:$9,0))</f>
        <v>19151.463999999996</v>
      </c>
      <c r="I12" s="930">
        <v>0</v>
      </c>
      <c r="J12" s="930">
        <f t="shared" si="1"/>
        <v>19151.463999999996</v>
      </c>
      <c r="K12" s="930"/>
      <c r="L12" s="930">
        <f t="shared" si="2"/>
        <v>54718.468571428566</v>
      </c>
      <c r="M12" s="930">
        <f t="shared" si="3"/>
        <v>0</v>
      </c>
      <c r="N12" s="930">
        <f t="shared" si="4"/>
        <v>54718.468571428566</v>
      </c>
      <c r="O12" s="930"/>
      <c r="P12" s="930">
        <f t="shared" si="5"/>
        <v>11490.878399999998</v>
      </c>
      <c r="Q12" s="930">
        <f t="shared" si="6"/>
        <v>0</v>
      </c>
      <c r="R12" s="930">
        <f t="shared" si="7"/>
        <v>11490.878399999998</v>
      </c>
      <c r="T12" s="930">
        <f t="shared" si="8"/>
        <v>-7660.5855999999985</v>
      </c>
    </row>
    <row r="13" spans="1:21">
      <c r="B13" s="828">
        <f t="shared" ref="B13:B29" ca="1" si="9">+MAX(OFFSET($B$1,0,0,ROW($B13)-ROW($B$1),1))+1</f>
        <v>4</v>
      </c>
      <c r="D13" s="908" t="s">
        <v>959</v>
      </c>
      <c r="E13" s="908"/>
      <c r="F13" s="822" t="str">
        <f>+INDEX('6) Adj Detail'!$6:$6&amp;" "&amp;'6) Adj Detail'!$7:$7&amp;" "&amp;'6) Adj Detail'!$8:$8,1,MATCH($D13,'6) Adj Detail'!$9:$9,0))</f>
        <v>Restate Revenue Adjustment</v>
      </c>
      <c r="G13" s="822"/>
      <c r="H13" s="930">
        <f>+INDEX('6) Adj Detail'!$29:$29,1,MATCH($D13,'6) Adj Detail'!$9:$9,0))</f>
        <v>-838661.52984188625</v>
      </c>
      <c r="I13" s="930">
        <v>0</v>
      </c>
      <c r="J13" s="930">
        <f t="shared" si="1"/>
        <v>-838661.52984188625</v>
      </c>
      <c r="K13" s="930"/>
      <c r="L13" s="930">
        <f t="shared" si="2"/>
        <v>-2396175.7995482464</v>
      </c>
      <c r="M13" s="930">
        <f t="shared" si="3"/>
        <v>0</v>
      </c>
      <c r="N13" s="930">
        <f t="shared" si="4"/>
        <v>-2396175.7995482464</v>
      </c>
      <c r="O13" s="930"/>
      <c r="P13" s="930">
        <f t="shared" si="5"/>
        <v>-503196.9179051317</v>
      </c>
      <c r="Q13" s="930">
        <f t="shared" si="6"/>
        <v>0</v>
      </c>
      <c r="R13" s="930">
        <f t="shared" si="7"/>
        <v>-503196.9179051317</v>
      </c>
      <c r="T13" s="930">
        <f t="shared" si="8"/>
        <v>335464.61193675455</v>
      </c>
    </row>
    <row r="14" spans="1:21">
      <c r="B14" s="828">
        <f t="shared" ca="1" si="9"/>
        <v>5</v>
      </c>
      <c r="D14" s="908" t="s">
        <v>1130</v>
      </c>
      <c r="E14" s="908"/>
      <c r="F14" s="822" t="str">
        <f>+INDEX('6) Adj Detail'!$6:$6&amp;" "&amp;'6) Adj Detail'!$7:$7&amp;" "&amp;'6) Adj Detail'!$8:$8,1,MATCH($D14,'6) Adj Detail'!$9:$9,0))</f>
        <v>Low-Income Bill Assistance</v>
      </c>
      <c r="G14" s="822"/>
      <c r="H14" s="930">
        <f>+INDEX('6) Adj Detail'!$29:$29,1,MATCH($D14,'6) Adj Detail'!$9:$9,0))</f>
        <v>186666.67599999998</v>
      </c>
      <c r="I14" s="930">
        <v>0</v>
      </c>
      <c r="J14" s="930">
        <f t="shared" si="1"/>
        <v>186666.67599999998</v>
      </c>
      <c r="K14" s="930"/>
      <c r="L14" s="930">
        <f t="shared" si="2"/>
        <v>533333.36</v>
      </c>
      <c r="M14" s="930">
        <f t="shared" si="3"/>
        <v>0</v>
      </c>
      <c r="N14" s="930">
        <f t="shared" si="4"/>
        <v>533333.36</v>
      </c>
      <c r="O14" s="930"/>
      <c r="P14" s="930">
        <f t="shared" si="5"/>
        <v>112000.00559999999</v>
      </c>
      <c r="Q14" s="930">
        <f t="shared" si="6"/>
        <v>0</v>
      </c>
      <c r="R14" s="930">
        <f t="shared" si="7"/>
        <v>112000.00559999999</v>
      </c>
      <c r="T14" s="930">
        <f t="shared" si="8"/>
        <v>-74666.670399999988</v>
      </c>
    </row>
    <row r="15" spans="1:21">
      <c r="B15" s="828">
        <f t="shared" ca="1" si="9"/>
        <v>6</v>
      </c>
      <c r="D15" s="908" t="s">
        <v>2317</v>
      </c>
      <c r="E15" s="908"/>
      <c r="F15" s="822" t="str">
        <f>+INDEX('6) Adj Detail'!$6:$6&amp;" "&amp;'6) Adj Detail'!$7:$7&amp;" "&amp;'6) Adj Detail'!$8:$8,1,MATCH($D15,'6) Adj Detail'!$9:$9,0))</f>
        <v xml:space="preserve">Restate  Wages </v>
      </c>
      <c r="G15" s="822"/>
      <c r="H15" s="930">
        <f>+INDEX('6) Adj Detail'!$29:$29,1,MATCH($D15,'6) Adj Detail'!$9:$9,0))</f>
        <v>-26959.608130954759</v>
      </c>
      <c r="I15" s="930">
        <v>0</v>
      </c>
      <c r="J15" s="930">
        <f t="shared" ref="J15" si="10">+SUM(H15:I15)</f>
        <v>-26959.608130954759</v>
      </c>
      <c r="K15" s="930"/>
      <c r="L15" s="930">
        <f t="shared" ref="L15" si="11">+H15/0.35</f>
        <v>-77027.451802727883</v>
      </c>
      <c r="M15" s="930">
        <f t="shared" ref="M15" si="12">+I15/0.35</f>
        <v>0</v>
      </c>
      <c r="N15" s="930">
        <f t="shared" ref="N15" si="13">+J15/0.35</f>
        <v>-77027.451802727883</v>
      </c>
      <c r="O15" s="930"/>
      <c r="P15" s="930">
        <f t="shared" ref="P15" si="14">+L15*0.21</f>
        <v>-16175.764878572854</v>
      </c>
      <c r="Q15" s="930">
        <f t="shared" ref="Q15" si="15">+M15*0.21</f>
        <v>0</v>
      </c>
      <c r="R15" s="930">
        <f t="shared" ref="R15" si="16">+SUM(P15:Q15)</f>
        <v>-16175.764878572854</v>
      </c>
      <c r="T15" s="930">
        <f t="shared" ref="T15" si="17">+R15-J15</f>
        <v>10783.843252381905</v>
      </c>
    </row>
    <row r="16" spans="1:21">
      <c r="B16" s="828">
        <f t="shared" ca="1" si="9"/>
        <v>7</v>
      </c>
      <c r="D16" s="908" t="s">
        <v>911</v>
      </c>
      <c r="E16" s="908"/>
      <c r="F16" s="822" t="str">
        <f>+INDEX('6) Adj Detail'!$6:$6&amp;" "&amp;'6) Adj Detail'!$7:$7&amp;" "&amp;'6) Adj Detail'!$8:$8,1,MATCH($D16,'6) Adj Detail'!$9:$9,0))</f>
        <v>Interest  Coordination Adjustment</v>
      </c>
      <c r="G16" s="822"/>
      <c r="H16" s="930">
        <f>+INDEX('6) Adj Detail'!$29:$29,1,MATCH($D16,'6) Adj Detail'!$9:$9,0))</f>
        <v>387344.30741478695</v>
      </c>
      <c r="I16" s="930">
        <v>0</v>
      </c>
      <c r="J16" s="930">
        <f t="shared" si="1"/>
        <v>387344.30741478695</v>
      </c>
      <c r="K16" s="930"/>
      <c r="L16" s="930">
        <f t="shared" si="2"/>
        <v>1106698.0211851057</v>
      </c>
      <c r="M16" s="930">
        <f t="shared" si="3"/>
        <v>0</v>
      </c>
      <c r="N16" s="930">
        <f t="shared" si="4"/>
        <v>1106698.0211851057</v>
      </c>
      <c r="O16" s="930"/>
      <c r="P16" s="930">
        <f t="shared" si="5"/>
        <v>232406.58444887219</v>
      </c>
      <c r="Q16" s="930">
        <f t="shared" si="6"/>
        <v>0</v>
      </c>
      <c r="R16" s="930">
        <f t="shared" si="7"/>
        <v>232406.58444887219</v>
      </c>
      <c r="T16" s="930">
        <f t="shared" si="8"/>
        <v>-154937.72296591476</v>
      </c>
    </row>
    <row r="17" spans="2:20">
      <c r="B17" s="828">
        <f t="shared" ca="1" si="9"/>
        <v>8</v>
      </c>
      <c r="D17" s="908" t="s">
        <v>912</v>
      </c>
      <c r="E17" s="908"/>
      <c r="F17" s="822" t="str">
        <f>+INDEX('6) Adj Detail'!$6:$6&amp;" "&amp;'6) Adj Detail'!$7:$7&amp;" "&amp;'6) Adj Detail'!$8:$8,1,MATCH($D17,'6) Adj Detail'!$9:$9,0))</f>
        <v>Pro Forma Wage Adjustment</v>
      </c>
      <c r="G17" s="822"/>
      <c r="H17" s="930">
        <f>+INDEX('6) Adj Detail'!$29:$29,1,MATCH($D17,'6) Adj Detail'!$9:$9,0))</f>
        <v>-233944.11138413457</v>
      </c>
      <c r="I17" s="930">
        <v>0</v>
      </c>
      <c r="J17" s="930">
        <f t="shared" si="1"/>
        <v>-233944.11138413457</v>
      </c>
      <c r="K17" s="930"/>
      <c r="L17" s="930">
        <f t="shared" si="2"/>
        <v>-668411.74681181309</v>
      </c>
      <c r="M17" s="930">
        <f t="shared" si="3"/>
        <v>0</v>
      </c>
      <c r="N17" s="930">
        <f t="shared" si="4"/>
        <v>-668411.74681181309</v>
      </c>
      <c r="O17" s="930"/>
      <c r="P17" s="930">
        <f t="shared" si="5"/>
        <v>-140366.46683048076</v>
      </c>
      <c r="Q17" s="930">
        <f t="shared" si="6"/>
        <v>0</v>
      </c>
      <c r="R17" s="930">
        <f t="shared" si="7"/>
        <v>-140366.46683048076</v>
      </c>
      <c r="T17" s="930">
        <f t="shared" si="8"/>
        <v>93577.644553653809</v>
      </c>
    </row>
    <row r="18" spans="2:20">
      <c r="B18" s="828">
        <f t="shared" ca="1" si="9"/>
        <v>9</v>
      </c>
      <c r="D18" s="908" t="s">
        <v>1134</v>
      </c>
      <c r="E18" s="908"/>
      <c r="F18" s="822" t="str">
        <f>+INDEX('6) Adj Detail'!$6:$6&amp;" "&amp;'6) Adj Detail'!$7:$7&amp;" "&amp;'6) Adj Detail'!$8:$8,1,MATCH($D18,'6) Adj Detail'!$9:$9,0))</f>
        <v>Pro Forma Plant Additions</v>
      </c>
      <c r="G18" s="822"/>
      <c r="H18" s="930">
        <f>+INDEX('6) Adj Detail'!$29:$29,1,MATCH($D18,'6) Adj Detail'!$9:$9,0))</f>
        <v>26291.18228726877</v>
      </c>
      <c r="I18" s="930">
        <v>0</v>
      </c>
      <c r="J18" s="930">
        <f t="shared" si="1"/>
        <v>26291.18228726877</v>
      </c>
      <c r="K18" s="930"/>
      <c r="L18" s="930">
        <f t="shared" si="2"/>
        <v>75117.663677910779</v>
      </c>
      <c r="M18" s="930">
        <f t="shared" si="3"/>
        <v>0</v>
      </c>
      <c r="N18" s="930">
        <f t="shared" si="4"/>
        <v>75117.663677910779</v>
      </c>
      <c r="O18" s="930"/>
      <c r="P18" s="930">
        <f t="shared" si="5"/>
        <v>15774.709372361263</v>
      </c>
      <c r="Q18" s="930">
        <f t="shared" si="6"/>
        <v>0</v>
      </c>
      <c r="R18" s="930">
        <f t="shared" si="7"/>
        <v>15774.709372361263</v>
      </c>
      <c r="T18" s="930">
        <f t="shared" si="8"/>
        <v>-10516.472914907506</v>
      </c>
    </row>
    <row r="19" spans="2:20">
      <c r="B19" s="828">
        <f t="shared" ca="1" si="9"/>
        <v>10</v>
      </c>
      <c r="D19" s="908" t="s">
        <v>913</v>
      </c>
      <c r="E19" s="908"/>
      <c r="F19" s="822" t="str">
        <f>+INDEX('6) Adj Detail'!$6:$6&amp;" "&amp;'6) Adj Detail'!$7:$7&amp;" "&amp;'6) Adj Detail'!$8:$8,1,MATCH($D19,'6) Adj Detail'!$9:$9,0))</f>
        <v xml:space="preserve">Rate Case Costs </v>
      </c>
      <c r="G19" s="822"/>
      <c r="H19" s="930">
        <f>+INDEX('6) Adj Detail'!$29:$29,1,MATCH($D19,'6) Adj Detail'!$9:$9,0))</f>
        <v>-33053.779499999997</v>
      </c>
      <c r="I19" s="930">
        <v>0</v>
      </c>
      <c r="J19" s="930">
        <f t="shared" si="1"/>
        <v>-33053.779499999997</v>
      </c>
      <c r="K19" s="930"/>
      <c r="L19" s="930">
        <f t="shared" si="2"/>
        <v>-94439.37</v>
      </c>
      <c r="M19" s="930">
        <f t="shared" si="3"/>
        <v>0</v>
      </c>
      <c r="N19" s="930">
        <f t="shared" si="4"/>
        <v>-94439.37</v>
      </c>
      <c r="O19" s="930"/>
      <c r="P19" s="930">
        <f t="shared" si="5"/>
        <v>-19832.267699999997</v>
      </c>
      <c r="Q19" s="930">
        <f t="shared" si="6"/>
        <v>0</v>
      </c>
      <c r="R19" s="930">
        <f t="shared" si="7"/>
        <v>-19832.267699999997</v>
      </c>
      <c r="T19" s="930">
        <f t="shared" si="8"/>
        <v>13221.5118</v>
      </c>
    </row>
    <row r="20" spans="2:20">
      <c r="B20" s="828">
        <f t="shared" ca="1" si="9"/>
        <v>11</v>
      </c>
      <c r="D20" s="908" t="s">
        <v>914</v>
      </c>
      <c r="E20" s="908"/>
      <c r="F20" s="822" t="str">
        <f>+INDEX('6) Adj Detail'!$6:$6&amp;" "&amp;'6) Adj Detail'!$7:$7&amp;" "&amp;'6) Adj Detail'!$8:$8,1,MATCH($D20,'6) Adj Detail'!$9:$9,0))</f>
        <v>Pro Forma Compliance Department</v>
      </c>
      <c r="G20" s="822"/>
      <c r="H20" s="930">
        <f>+INDEX('6) Adj Detail'!$29:$29,1,MATCH($D20,'6) Adj Detail'!$9:$9,0))</f>
        <v>-97857.855301023999</v>
      </c>
      <c r="I20" s="930">
        <v>0</v>
      </c>
      <c r="J20" s="930">
        <f t="shared" si="1"/>
        <v>-97857.855301023999</v>
      </c>
      <c r="K20" s="930"/>
      <c r="L20" s="930">
        <f t="shared" si="2"/>
        <v>-279593.87228864001</v>
      </c>
      <c r="M20" s="930">
        <f t="shared" si="3"/>
        <v>0</v>
      </c>
      <c r="N20" s="930">
        <f t="shared" si="4"/>
        <v>-279593.87228864001</v>
      </c>
      <c r="O20" s="930"/>
      <c r="P20" s="930">
        <f t="shared" si="5"/>
        <v>-58714.713180614403</v>
      </c>
      <c r="Q20" s="930">
        <f t="shared" si="6"/>
        <v>0</v>
      </c>
      <c r="R20" s="930">
        <f t="shared" si="7"/>
        <v>-58714.713180614403</v>
      </c>
      <c r="T20" s="930">
        <f t="shared" si="8"/>
        <v>39143.142120409597</v>
      </c>
    </row>
    <row r="21" spans="2:20">
      <c r="B21" s="828">
        <f t="shared" ca="1" si="9"/>
        <v>12</v>
      </c>
      <c r="D21" s="908" t="s">
        <v>915</v>
      </c>
      <c r="E21" s="908"/>
      <c r="F21" s="822" t="str">
        <f>+INDEX('6) Adj Detail'!$6:$6&amp;" "&amp;'6) Adj Detail'!$7:$7&amp;" "&amp;'6) Adj Detail'!$8:$8,1,MATCH($D21,'6) Adj Detail'!$9:$9,0))</f>
        <v>MAOP Deferral Amortization</v>
      </c>
      <c r="G21" s="822"/>
      <c r="H21" s="930">
        <f>+INDEX('6) Adj Detail'!$29:$29,1,MATCH($D21,'6) Adj Detail'!$9:$9,0))</f>
        <v>-148297.83499999999</v>
      </c>
      <c r="I21" s="930">
        <v>0</v>
      </c>
      <c r="J21" s="930">
        <f t="shared" si="1"/>
        <v>-148297.83499999999</v>
      </c>
      <c r="K21" s="930"/>
      <c r="L21" s="930">
        <f t="shared" si="2"/>
        <v>-423708.1</v>
      </c>
      <c r="M21" s="930">
        <f t="shared" si="3"/>
        <v>0</v>
      </c>
      <c r="N21" s="930">
        <f t="shared" si="4"/>
        <v>-423708.1</v>
      </c>
      <c r="O21" s="930"/>
      <c r="P21" s="930">
        <f t="shared" si="5"/>
        <v>-88978.700999999986</v>
      </c>
      <c r="Q21" s="930">
        <f t="shared" si="6"/>
        <v>0</v>
      </c>
      <c r="R21" s="930">
        <f t="shared" si="7"/>
        <v>-88978.700999999986</v>
      </c>
      <c r="T21" s="930">
        <f t="shared" si="8"/>
        <v>59319.134000000005</v>
      </c>
    </row>
    <row r="22" spans="2:20">
      <c r="B22" s="828">
        <f t="shared" ca="1" si="9"/>
        <v>13</v>
      </c>
      <c r="D22" s="908" t="s">
        <v>916</v>
      </c>
      <c r="E22" s="908"/>
      <c r="F22" s="822" t="str">
        <f>+INDEX('6) Adj Detail'!$6:$6&amp;" "&amp;'6) Adj Detail'!$7:$7&amp;" "&amp;'6) Adj Detail'!$8:$8,1,MATCH($D22,'6) Adj Detail'!$9:$9,0))</f>
        <v>Miscellaneous Charge Changes</v>
      </c>
      <c r="G22" s="822"/>
      <c r="H22" s="930">
        <f>+INDEX('6) Adj Detail'!$29:$29,1,MATCH($D22,'6) Adj Detail'!$9:$9,0))</f>
        <v>-33999.280552280747</v>
      </c>
      <c r="I22" s="930">
        <v>0</v>
      </c>
      <c r="J22" s="930">
        <f t="shared" si="1"/>
        <v>-33999.280552280747</v>
      </c>
      <c r="K22" s="930"/>
      <c r="L22" s="930">
        <f t="shared" si="2"/>
        <v>-97140.801577944992</v>
      </c>
      <c r="M22" s="930">
        <f t="shared" si="3"/>
        <v>0</v>
      </c>
      <c r="N22" s="930">
        <f t="shared" si="4"/>
        <v>-97140.801577944992</v>
      </c>
      <c r="O22" s="930"/>
      <c r="P22" s="930">
        <f t="shared" si="5"/>
        <v>-20399.568331368449</v>
      </c>
      <c r="Q22" s="930">
        <f t="shared" si="6"/>
        <v>0</v>
      </c>
      <c r="R22" s="930">
        <f t="shared" si="7"/>
        <v>-20399.568331368449</v>
      </c>
      <c r="T22" s="930">
        <f t="shared" si="8"/>
        <v>13599.712220912297</v>
      </c>
    </row>
    <row r="23" spans="2:20">
      <c r="B23" s="828">
        <f t="shared" ca="1" si="9"/>
        <v>14</v>
      </c>
      <c r="D23" s="908" t="s">
        <v>1135</v>
      </c>
      <c r="E23" s="908"/>
      <c r="F23" s="822" t="str">
        <f>+INDEX('6) Adj Detail'!$6:$6&amp;" "&amp;'6) Adj Detail'!$7:$7&amp;" "&amp;'6) Adj Detail'!$8:$8,1,MATCH($D23,'6) Adj Detail'!$9:$9,0))</f>
        <v xml:space="preserve">CRM Adjustment </v>
      </c>
      <c r="G23" s="822"/>
      <c r="H23" s="930">
        <f>+INDEX('6) Adj Detail'!$29:$29,1,MATCH($D23,'6) Adj Detail'!$9:$9,0))</f>
        <v>-27303.811561162514</v>
      </c>
      <c r="I23" s="930">
        <v>0</v>
      </c>
      <c r="J23" s="930">
        <f t="shared" si="1"/>
        <v>-27303.811561162514</v>
      </c>
      <c r="K23" s="930"/>
      <c r="L23" s="930">
        <f t="shared" si="2"/>
        <v>-78010.890174750049</v>
      </c>
      <c r="M23" s="930">
        <f t="shared" si="3"/>
        <v>0</v>
      </c>
      <c r="N23" s="930">
        <f t="shared" si="4"/>
        <v>-78010.890174750049</v>
      </c>
      <c r="O23" s="930"/>
      <c r="P23" s="930">
        <f t="shared" si="5"/>
        <v>-16382.28693669751</v>
      </c>
      <c r="Q23" s="930">
        <f t="shared" si="6"/>
        <v>0</v>
      </c>
      <c r="R23" s="930">
        <f t="shared" si="7"/>
        <v>-16382.28693669751</v>
      </c>
      <c r="T23" s="930">
        <f t="shared" si="8"/>
        <v>10921.524624465004</v>
      </c>
    </row>
    <row r="24" spans="2:20">
      <c r="B24" s="828">
        <f t="shared" ca="1" si="9"/>
        <v>15</v>
      </c>
      <c r="D24" s="908" t="s">
        <v>1136</v>
      </c>
      <c r="E24" s="908"/>
      <c r="F24" s="822" t="str">
        <f>+INDEX('6) Adj Detail'!$6:$6&amp;" "&amp;'6) Adj Detail'!$7:$7&amp;" "&amp;'6) Adj Detail'!$8:$8,1,MATCH($D24,'6) Adj Detail'!$9:$9,0))</f>
        <v xml:space="preserve">Pro Forma Revenue </v>
      </c>
      <c r="G24" s="822"/>
      <c r="H24" s="930">
        <f>+INDEX('6) Adj Detail'!$29:$29,1,MATCH($D24,'6) Adj Detail'!$9:$9,0))</f>
        <v>2443230.4579329626</v>
      </c>
      <c r="I24" s="930">
        <v>0</v>
      </c>
      <c r="J24" s="930">
        <f t="shared" si="1"/>
        <v>2443230.4579329626</v>
      </c>
      <c r="K24" s="930"/>
      <c r="L24" s="930">
        <f t="shared" si="2"/>
        <v>6980658.4512370359</v>
      </c>
      <c r="M24" s="930">
        <f t="shared" si="3"/>
        <v>0</v>
      </c>
      <c r="N24" s="930">
        <f t="shared" si="4"/>
        <v>6980658.4512370359</v>
      </c>
      <c r="O24" s="930"/>
      <c r="P24" s="930">
        <f t="shared" si="5"/>
        <v>1465938.2747597776</v>
      </c>
      <c r="Q24" s="930">
        <f t="shared" si="6"/>
        <v>0</v>
      </c>
      <c r="R24" s="930">
        <f t="shared" si="7"/>
        <v>1465938.2747597776</v>
      </c>
      <c r="T24" s="930">
        <f t="shared" si="8"/>
        <v>-977292.18317318498</v>
      </c>
    </row>
    <row r="25" spans="2:20">
      <c r="B25" s="828">
        <f t="shared" ca="1" si="9"/>
        <v>16</v>
      </c>
      <c r="D25" s="908" t="s">
        <v>2316</v>
      </c>
      <c r="E25" s="908"/>
      <c r="F25" s="822" t="str">
        <f>+INDEX('6) Adj Detail'!$6:$6&amp;" "&amp;'6) Adj Detail'!$7:$7&amp;" "&amp;'6) Adj Detail'!$8:$8,1,MATCH($D25,'6) Adj Detail'!$9:$9,0))</f>
        <v xml:space="preserve">SERP Expense </v>
      </c>
      <c r="G25" s="822"/>
      <c r="H25" s="930">
        <f>+INDEX('6) Adj Detail'!$29:$29,1,MATCH($D25,'6) Adj Detail'!$9:$9,0))</f>
        <v>191327.84999999998</v>
      </c>
      <c r="I25" s="930">
        <v>0</v>
      </c>
      <c r="J25" s="930">
        <f t="shared" si="1"/>
        <v>191327.84999999998</v>
      </c>
      <c r="K25" s="930"/>
      <c r="L25" s="930">
        <f t="shared" si="2"/>
        <v>546651</v>
      </c>
      <c r="M25" s="930">
        <f t="shared" si="3"/>
        <v>0</v>
      </c>
      <c r="N25" s="930">
        <f t="shared" si="4"/>
        <v>546651</v>
      </c>
      <c r="O25" s="930"/>
      <c r="P25" s="930">
        <f t="shared" si="5"/>
        <v>114796.70999999999</v>
      </c>
      <c r="Q25" s="930">
        <f t="shared" si="6"/>
        <v>0</v>
      </c>
      <c r="R25" s="930">
        <f t="shared" si="7"/>
        <v>114796.70999999999</v>
      </c>
      <c r="T25" s="930">
        <f t="shared" si="8"/>
        <v>-76531.139999999985</v>
      </c>
    </row>
    <row r="26" spans="2:20">
      <c r="B26" s="828">
        <f t="shared" ca="1" si="9"/>
        <v>17</v>
      </c>
      <c r="D26" s="908" t="s">
        <v>2318</v>
      </c>
      <c r="E26" s="908"/>
      <c r="F26" s="822" t="str">
        <f>+INDEX('6) Adj Detail'!$6:$6&amp;" "&amp;'6) Adj Detail'!$7:$7&amp;" "&amp;'6) Adj Detail'!$8:$8,1,MATCH($D26,'6) Adj Detail'!$9:$9,0))</f>
        <v xml:space="preserve">Incentive Pay </v>
      </c>
      <c r="G26" s="822"/>
      <c r="H26" s="930">
        <f>+INDEX('6) Adj Detail'!$29:$29,1,MATCH($D26,'6) Adj Detail'!$9:$9,0))</f>
        <v>397878.14619735011</v>
      </c>
      <c r="I26" s="930">
        <v>0</v>
      </c>
      <c r="J26" s="930">
        <f t="shared" si="1"/>
        <v>397878.14619735011</v>
      </c>
      <c r="K26" s="930"/>
      <c r="L26" s="930">
        <f t="shared" si="2"/>
        <v>1136794.7034210004</v>
      </c>
      <c r="M26" s="930">
        <f t="shared" si="3"/>
        <v>0</v>
      </c>
      <c r="N26" s="930">
        <f t="shared" si="4"/>
        <v>1136794.7034210004</v>
      </c>
      <c r="O26" s="930"/>
      <c r="P26" s="930">
        <f t="shared" si="5"/>
        <v>238726.88771841009</v>
      </c>
      <c r="Q26" s="930">
        <f t="shared" si="6"/>
        <v>0</v>
      </c>
      <c r="R26" s="930">
        <f t="shared" si="7"/>
        <v>238726.88771841009</v>
      </c>
      <c r="T26" s="930">
        <f t="shared" si="8"/>
        <v>-159151.25847894003</v>
      </c>
    </row>
    <row r="27" spans="2:20">
      <c r="B27" s="828">
        <f t="shared" ca="1" si="9"/>
        <v>18</v>
      </c>
      <c r="D27" s="908" t="s">
        <v>2319</v>
      </c>
      <c r="E27" s="908"/>
      <c r="F27" s="822" t="str">
        <f>+INDEX('6) Adj Detail'!$6:$6&amp;" "&amp;'6) Adj Detail'!$7:$7&amp;" "&amp;'6) Adj Detail'!$8:$8,1,MATCH($D27,'6) Adj Detail'!$9:$9,0))</f>
        <v xml:space="preserve">Employee Arbitration </v>
      </c>
      <c r="G27" s="822"/>
      <c r="H27" s="951">
        <f>+INDEX('6) Adj Detail'!$29:$29,1,MATCH($D27,'6) Adj Detail'!$9:$9,0))</f>
        <v>73764.599999999991</v>
      </c>
      <c r="I27" s="951">
        <v>0</v>
      </c>
      <c r="J27" s="951">
        <f t="shared" si="1"/>
        <v>73764.599999999991</v>
      </c>
      <c r="K27" s="930"/>
      <c r="L27" s="951">
        <f t="shared" si="2"/>
        <v>210756</v>
      </c>
      <c r="M27" s="951">
        <f t="shared" si="3"/>
        <v>0</v>
      </c>
      <c r="N27" s="951">
        <f t="shared" si="4"/>
        <v>210756</v>
      </c>
      <c r="O27" s="930"/>
      <c r="P27" s="951">
        <f t="shared" si="5"/>
        <v>44258.759999999995</v>
      </c>
      <c r="Q27" s="951">
        <f t="shared" si="6"/>
        <v>0</v>
      </c>
      <c r="R27" s="951">
        <f t="shared" si="7"/>
        <v>44258.759999999995</v>
      </c>
      <c r="T27" s="951">
        <f t="shared" si="8"/>
        <v>-29505.839999999997</v>
      </c>
    </row>
    <row r="28" spans="2:20" ht="9.75" customHeight="1">
      <c r="H28" s="930"/>
      <c r="I28" s="930"/>
      <c r="J28" s="930"/>
      <c r="K28" s="930"/>
      <c r="L28" s="930"/>
      <c r="M28" s="930"/>
      <c r="N28" s="930"/>
      <c r="O28" s="930"/>
      <c r="P28" s="930"/>
      <c r="Q28" s="930"/>
      <c r="R28" s="930"/>
    </row>
    <row r="29" spans="2:20" ht="13.5" thickBot="1">
      <c r="B29" s="828">
        <f t="shared" ca="1" si="9"/>
        <v>19</v>
      </c>
      <c r="F29" s="929" t="s">
        <v>2248</v>
      </c>
      <c r="H29" s="930">
        <f>+SUM(H9:H27)</f>
        <v>6761825.0856693033</v>
      </c>
      <c r="I29" s="930">
        <f>+SUM(I9:I27)</f>
        <v>1031914.19</v>
      </c>
      <c r="J29" s="930">
        <f>+SUM(J9:J27)</f>
        <v>7793739.2756693019</v>
      </c>
      <c r="K29" s="930"/>
      <c r="L29" s="930">
        <f>+SUM(L9:L27)</f>
        <v>19319500.244769443</v>
      </c>
      <c r="M29" s="930">
        <f>+SUM(M9:M27)</f>
        <v>2948326.2571428572</v>
      </c>
      <c r="N29" s="930">
        <f>+SUM(N9:N27)</f>
        <v>22267826.5019123</v>
      </c>
      <c r="O29" s="930"/>
      <c r="P29" s="930">
        <f>+SUM(P9:P27)</f>
        <v>4057095.0514015825</v>
      </c>
      <c r="Q29" s="930">
        <f>+SUM(Q9:Q27)</f>
        <v>619148.51399999997</v>
      </c>
      <c r="R29" s="930">
        <f>+SUM(R9:R27)</f>
        <v>4676243.565401582</v>
      </c>
      <c r="T29" s="950">
        <f t="shared" si="8"/>
        <v>-3117495.7102677198</v>
      </c>
    </row>
    <row r="30" spans="2:20" ht="9.75" customHeight="1" thickTop="1">
      <c r="H30" s="930"/>
      <c r="I30" s="930"/>
      <c r="J30" s="930"/>
      <c r="K30" s="930"/>
      <c r="L30" s="930"/>
      <c r="M30" s="930"/>
      <c r="N30" s="930"/>
      <c r="O30" s="930"/>
      <c r="P30" s="930"/>
      <c r="Q30" s="930"/>
      <c r="R30" s="930"/>
    </row>
    <row r="31" spans="2:20" ht="9.75" customHeight="1"/>
    <row r="32" spans="2:20">
      <c r="B32" s="828">
        <f t="shared" ref="B32" ca="1" si="18">+MAX(OFFSET($B$1,0,0,ROW($B32)-ROW($B$1),1))+1</f>
        <v>20</v>
      </c>
      <c r="D32" s="929" t="s">
        <v>2247</v>
      </c>
    </row>
  </sheetData>
  <pageMargins left="0.25" right="0.25" top="0.5" bottom="0.75" header="0" footer="0.3"/>
  <pageSetup scale="75" orientation="landscape" r:id="rId1"/>
  <headerFooter>
    <oddFooter>&amp;R&amp;"Times New Roman,Regular"&amp;9 26678.897\4829-5163-7600.v1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4"/>
  <sheetViews>
    <sheetView zoomScaleNormal="100" zoomScaleSheetLayoutView="85" workbookViewId="0"/>
  </sheetViews>
  <sheetFormatPr defaultColWidth="9.140625" defaultRowHeight="12.75"/>
  <cols>
    <col min="1" max="1" width="1.42578125" style="929" customWidth="1"/>
    <col min="2" max="2" width="4.28515625" style="943" bestFit="1" customWidth="1"/>
    <col min="3" max="3" width="1.42578125" style="929" customWidth="1"/>
    <col min="4" max="4" width="21.42578125" style="929" customWidth="1"/>
    <col min="5" max="5" width="2.42578125" style="929" customWidth="1"/>
    <col min="6" max="6" width="15.42578125" style="929" customWidth="1"/>
    <col min="7" max="7" width="2.42578125" style="929" customWidth="1"/>
    <col min="8" max="8" width="15.42578125" style="929" customWidth="1"/>
    <col min="9" max="9" width="2.42578125" style="929" customWidth="1"/>
    <col min="10" max="10" width="15.42578125" style="929" customWidth="1"/>
    <col min="11" max="11" width="2.42578125" style="929" customWidth="1"/>
    <col min="12" max="12" width="15.42578125" style="929" customWidth="1"/>
    <col min="13" max="13" width="5.28515625" style="929" customWidth="1"/>
    <col min="14" max="14" width="9.140625" style="929"/>
    <col min="15" max="15" width="2.42578125" style="929" customWidth="1"/>
    <col min="16" max="16" width="15.42578125" style="929" customWidth="1"/>
    <col min="17" max="16384" width="9.140625" style="929"/>
  </cols>
  <sheetData>
    <row r="1" spans="1:16" ht="14.25">
      <c r="A1" s="1164" t="s">
        <v>53</v>
      </c>
      <c r="B1" s="1165"/>
    </row>
    <row r="2" spans="1:16" ht="15">
      <c r="A2" s="1175" t="s">
        <v>2296</v>
      </c>
      <c r="B2" s="915"/>
    </row>
    <row r="3" spans="1:16" ht="15">
      <c r="A3" s="1116" t="s">
        <v>971</v>
      </c>
      <c r="B3" s="915"/>
    </row>
    <row r="4" spans="1:16" ht="15">
      <c r="A4" s="1116" t="s">
        <v>2281</v>
      </c>
      <c r="G4" s="930"/>
    </row>
    <row r="5" spans="1:16" ht="19.5" customHeight="1">
      <c r="G5" s="930"/>
    </row>
    <row r="6" spans="1:16" ht="19.5" customHeight="1">
      <c r="G6" s="930"/>
    </row>
    <row r="7" spans="1:16" ht="25.5">
      <c r="B7" s="942" t="s">
        <v>368</v>
      </c>
      <c r="D7" s="942" t="s">
        <v>2224</v>
      </c>
      <c r="E7" s="943"/>
      <c r="F7" s="944" t="s">
        <v>2218</v>
      </c>
      <c r="G7" s="945"/>
      <c r="H7" s="944" t="s">
        <v>2229</v>
      </c>
      <c r="I7" s="945"/>
      <c r="J7" s="944" t="s">
        <v>2223</v>
      </c>
      <c r="K7" s="945"/>
      <c r="L7" s="944" t="s">
        <v>2217</v>
      </c>
      <c r="M7" s="946"/>
      <c r="N7" s="944" t="s">
        <v>2225</v>
      </c>
      <c r="O7" s="943"/>
      <c r="P7" s="942" t="s">
        <v>2163</v>
      </c>
    </row>
    <row r="8" spans="1:16">
      <c r="F8" s="947" t="s">
        <v>105</v>
      </c>
      <c r="G8" s="947"/>
      <c r="H8" s="947" t="s">
        <v>2230</v>
      </c>
      <c r="I8" s="947"/>
      <c r="J8" s="947" t="s">
        <v>2231</v>
      </c>
      <c r="K8" s="943"/>
      <c r="L8" s="943" t="s">
        <v>2232</v>
      </c>
      <c r="M8" s="943"/>
      <c r="N8" s="943" t="s">
        <v>2234</v>
      </c>
      <c r="O8" s="943"/>
      <c r="P8" s="943" t="s">
        <v>2233</v>
      </c>
    </row>
    <row r="9" spans="1:16">
      <c r="F9" s="930"/>
      <c r="G9" s="930"/>
      <c r="H9" s="930"/>
      <c r="I9" s="930"/>
      <c r="J9" s="930"/>
    </row>
    <row r="10" spans="1:16">
      <c r="B10" s="828">
        <f ca="1">+MAX(OFFSET($B$9,0,0,ROW($B10)-ROW($B$9),1))+1</f>
        <v>1</v>
      </c>
      <c r="D10" s="929" t="s">
        <v>2304</v>
      </c>
      <c r="F10" s="930">
        <f>+'Adv for Const. &amp; Def Tax'!AX26</f>
        <v>-73443638.25333333</v>
      </c>
      <c r="G10" s="930"/>
      <c r="H10" s="930">
        <f>+F10/0.35</f>
        <v>-209838966.43809524</v>
      </c>
      <c r="I10" s="930"/>
      <c r="J10" s="930">
        <f>+H10*0.21</f>
        <v>-44066182.952</v>
      </c>
      <c r="L10" s="930">
        <f>+F10-J10</f>
        <v>-29377455.301333331</v>
      </c>
      <c r="M10" s="932" t="s">
        <v>2235</v>
      </c>
      <c r="N10" s="936">
        <f>+F28</f>
        <v>2.8252011541210997E-2</v>
      </c>
      <c r="P10" s="934">
        <f>+L10*N10</f>
        <v>-829972.20622467948</v>
      </c>
    </row>
    <row r="11" spans="1:16">
      <c r="B11" s="828">
        <f ca="1">+MAX(OFFSET($B$9,0,0,ROW($B11)-ROW($B$9),1))+1</f>
        <v>2</v>
      </c>
      <c r="D11" s="929" t="s">
        <v>2220</v>
      </c>
      <c r="F11" s="930">
        <f>+'Adv for Const. &amp; Def Tax'!AX27</f>
        <v>-223399.88625000001</v>
      </c>
      <c r="G11" s="930"/>
      <c r="H11" s="930">
        <f>+F11/0.35</f>
        <v>-638285.38928571437</v>
      </c>
      <c r="I11" s="930"/>
      <c r="J11" s="930">
        <f>+H11*0.21</f>
        <v>-134039.93175000002</v>
      </c>
      <c r="L11" s="930">
        <f>+F11-J11</f>
        <v>-89359.954499999993</v>
      </c>
      <c r="M11" s="932" t="s">
        <v>2236</v>
      </c>
      <c r="N11" s="936">
        <v>0.1</v>
      </c>
      <c r="P11" s="934">
        <f>+L11*N11</f>
        <v>-8935.9954500000003</v>
      </c>
    </row>
    <row r="12" spans="1:16">
      <c r="B12" s="828">
        <f ca="1">+MAX(OFFSET($B$9,0,0,ROW($B12)-ROW($B$9),1))+1</f>
        <v>3</v>
      </c>
      <c r="D12" s="1226" t="s">
        <v>2324</v>
      </c>
      <c r="E12" s="1226"/>
      <c r="F12" s="1227">
        <f>+H41</f>
        <v>-25775028.508942135</v>
      </c>
      <c r="G12" s="1227"/>
      <c r="H12" s="1227">
        <f>+F12/0.35</f>
        <v>-73642938.596977532</v>
      </c>
      <c r="I12" s="1227"/>
      <c r="J12" s="1227">
        <f>+H12*0.21</f>
        <v>-15465017.105365282</v>
      </c>
      <c r="K12" s="1226"/>
      <c r="L12" s="1227">
        <f>+F12-J12</f>
        <v>-10310011.403576853</v>
      </c>
      <c r="M12" s="1234" t="s">
        <v>2325</v>
      </c>
      <c r="N12" s="1228">
        <v>0.1</v>
      </c>
      <c r="O12" s="1226"/>
      <c r="P12" s="1227">
        <f>+L12*N12</f>
        <v>-1031001.1403576853</v>
      </c>
    </row>
    <row r="13" spans="1:16">
      <c r="F13" s="930"/>
      <c r="G13" s="930"/>
      <c r="H13" s="930"/>
      <c r="I13" s="930"/>
      <c r="J13" s="930"/>
      <c r="N13" s="936"/>
    </row>
    <row r="14" spans="1:16">
      <c r="B14" s="828">
        <f ca="1">+MAX(OFFSET($B$9,0,0,ROW($B14)-ROW($B$9),1))+1</f>
        <v>4</v>
      </c>
      <c r="D14" s="929" t="s">
        <v>2226</v>
      </c>
      <c r="F14" s="935">
        <f>+SUM(F10:F13)</f>
        <v>-99442066.648525476</v>
      </c>
      <c r="G14" s="930"/>
      <c r="H14" s="935">
        <f>+SUM(H10:H13)</f>
        <v>-284120190.42435849</v>
      </c>
      <c r="I14" s="930"/>
      <c r="J14" s="935">
        <f>+SUM(J10:J13)</f>
        <v>-59665239.989115283</v>
      </c>
      <c r="L14" s="935">
        <f>+SUM(L10:L13)</f>
        <v>-39776826.659410186</v>
      </c>
      <c r="M14" s="932"/>
      <c r="N14" s="936"/>
      <c r="P14" s="935">
        <f>+SUM(P10:P13)</f>
        <v>-1869909.3420323648</v>
      </c>
    </row>
    <row r="15" spans="1:16">
      <c r="F15" s="930">
        <f>+F14-'2) ROO Summary Sheet'!D36-F12</f>
        <v>0</v>
      </c>
      <c r="G15" s="930"/>
      <c r="H15" s="930"/>
      <c r="I15" s="930"/>
      <c r="J15" s="930"/>
      <c r="M15" s="932"/>
      <c r="N15" s="936"/>
    </row>
    <row r="16" spans="1:16">
      <c r="F16" s="930"/>
      <c r="G16" s="930"/>
      <c r="H16" s="930"/>
      <c r="I16" s="930"/>
      <c r="J16" s="930"/>
      <c r="M16" s="932"/>
      <c r="N16" s="936"/>
    </row>
    <row r="17" spans="2:16">
      <c r="B17" s="828">
        <f t="shared" ref="B17:B18" ca="1" si="0">+MAX(OFFSET($B$9,0,0,ROW($B17)-ROW($B$9),1))+1</f>
        <v>5</v>
      </c>
      <c r="D17" s="929" t="s">
        <v>2222</v>
      </c>
      <c r="F17" s="930">
        <f>+'6) Adj Detail'!L38</f>
        <v>-20980.832862499996</v>
      </c>
      <c r="G17" s="930"/>
      <c r="H17" s="930">
        <f>+F17/0.35</f>
        <v>-59945.236749999989</v>
      </c>
      <c r="I17" s="930"/>
      <c r="J17" s="930">
        <f>+H17*0.21</f>
        <v>-12588.499717499997</v>
      </c>
      <c r="L17" s="930">
        <f>+F17-J17</f>
        <v>-8392.3331449999987</v>
      </c>
      <c r="M17" s="932" t="s">
        <v>2235</v>
      </c>
      <c r="N17" s="936">
        <f>+N10</f>
        <v>2.8252011541210997E-2</v>
      </c>
      <c r="P17" s="934">
        <f t="shared" ref="P17:P18" si="1">+L17*N17</f>
        <v>-237.10029287022755</v>
      </c>
    </row>
    <row r="18" spans="2:16">
      <c r="B18" s="828">
        <f t="shared" ca="1" si="0"/>
        <v>6</v>
      </c>
      <c r="D18" s="929" t="s">
        <v>2221</v>
      </c>
      <c r="F18" s="930">
        <f>+'6) Adj Detail'!Q38</f>
        <v>-6190.9805284031308</v>
      </c>
      <c r="G18" s="930"/>
      <c r="H18" s="930">
        <f>+F18/0.35</f>
        <v>-17688.515795437517</v>
      </c>
      <c r="I18" s="930"/>
      <c r="J18" s="930">
        <f>+H18*0.21</f>
        <v>-3714.5883170418783</v>
      </c>
      <c r="L18" s="930">
        <f>+F18-J18</f>
        <v>-2476.3922113612525</v>
      </c>
      <c r="M18" s="932" t="s">
        <v>2235</v>
      </c>
      <c r="N18" s="936">
        <f>+N17</f>
        <v>2.8252011541210997E-2</v>
      </c>
      <c r="P18" s="934">
        <f t="shared" si="1"/>
        <v>-69.963061335943124</v>
      </c>
    </row>
    <row r="19" spans="2:16">
      <c r="F19" s="930"/>
      <c r="G19" s="930"/>
      <c r="H19" s="930"/>
      <c r="I19" s="930"/>
      <c r="J19" s="930"/>
    </row>
    <row r="20" spans="2:16">
      <c r="B20" s="828">
        <f ca="1">+MAX(OFFSET($B$9,0,0,ROW($B20)-ROW($B$9),1))+1</f>
        <v>7</v>
      </c>
      <c r="D20" s="929" t="s">
        <v>2227</v>
      </c>
      <c r="F20" s="935">
        <f>+SUM(F14:F18)</f>
        <v>-99469238.461916372</v>
      </c>
      <c r="G20" s="930"/>
      <c r="H20" s="935">
        <f>+SUM(H14:H18)</f>
        <v>-284197824.1769039</v>
      </c>
      <c r="I20" s="930"/>
      <c r="J20" s="935">
        <f>+SUM(J14:J18)</f>
        <v>-59681543.077149823</v>
      </c>
      <c r="L20" s="935">
        <f>+SUM(L14:L18)</f>
        <v>-39787695.384766549</v>
      </c>
      <c r="P20" s="935">
        <f>+SUM(P14:P18)</f>
        <v>-1870216.4053865711</v>
      </c>
    </row>
    <row r="21" spans="2:16">
      <c r="G21" s="930"/>
      <c r="H21" s="930"/>
      <c r="I21" s="930"/>
      <c r="J21" s="930"/>
    </row>
    <row r="22" spans="2:16">
      <c r="F22" s="930"/>
      <c r="G22" s="930"/>
      <c r="H22" s="930"/>
      <c r="I22" s="930"/>
      <c r="J22" s="930"/>
    </row>
    <row r="23" spans="2:16">
      <c r="D23" s="940" t="s">
        <v>1378</v>
      </c>
      <c r="E23" s="940"/>
      <c r="F23" s="940"/>
    </row>
    <row r="25" spans="2:16">
      <c r="B25" s="828">
        <f t="shared" ref="B25:B28" ca="1" si="2">+MAX(OFFSET($B$9,0,0,ROW($B25)-ROW($B$9),1))+1</f>
        <v>8</v>
      </c>
      <c r="D25" s="929" t="s">
        <v>2237</v>
      </c>
    </row>
    <row r="26" spans="2:16">
      <c r="B26" s="828">
        <f t="shared" ca="1" si="2"/>
        <v>9</v>
      </c>
      <c r="D26" s="938" t="s">
        <v>2219</v>
      </c>
      <c r="F26" s="933">
        <f>++'2) ROO Summary Sheet'!H33</f>
        <v>685133462.04356873</v>
      </c>
    </row>
    <row r="27" spans="2:16">
      <c r="B27" s="828">
        <f t="shared" ca="1" si="2"/>
        <v>10</v>
      </c>
      <c r="D27" s="938" t="s">
        <v>284</v>
      </c>
      <c r="F27" s="939">
        <f>+'2) ROO Summary Sheet'!L24</f>
        <v>19356398.476924751</v>
      </c>
    </row>
    <row r="28" spans="2:16">
      <c r="B28" s="828">
        <f t="shared" ca="1" si="2"/>
        <v>11</v>
      </c>
      <c r="D28" s="938" t="s">
        <v>2228</v>
      </c>
      <c r="F28" s="937">
        <f>+F27/F26</f>
        <v>2.8252011541210997E-2</v>
      </c>
    </row>
    <row r="30" spans="2:16">
      <c r="B30" s="828">
        <f ca="1">+MAX(OFFSET($B$9,0,0,ROW($B30)-ROW($B$9),1))+1</f>
        <v>12</v>
      </c>
      <c r="D30" s="929" t="s">
        <v>2238</v>
      </c>
    </row>
    <row r="33" spans="2:8">
      <c r="B33" s="828">
        <f ca="1">+MAX(OFFSET($B$9,0,0,ROW($B33)-ROW($B$9),1))+1</f>
        <v>13</v>
      </c>
      <c r="D33" s="929" t="s">
        <v>2326</v>
      </c>
    </row>
    <row r="35" spans="2:8">
      <c r="B35" s="828">
        <f t="shared" ref="B35:B39" ca="1" si="3">+MAX(OFFSET($B$9,0,0,ROW($B35)-ROW($B$9),1))+1</f>
        <v>14</v>
      </c>
      <c r="D35" s="1233" t="s">
        <v>2327</v>
      </c>
      <c r="H35" s="1231">
        <f>+'Working Capital Work Paper'!$X$316</f>
        <v>-36963319.913333334</v>
      </c>
    </row>
    <row r="36" spans="2:8">
      <c r="B36" s="828">
        <f t="shared" ca="1" si="3"/>
        <v>15</v>
      </c>
      <c r="D36" s="1233"/>
    </row>
    <row r="37" spans="2:8">
      <c r="B37" s="828">
        <f t="shared" ca="1" si="3"/>
        <v>16</v>
      </c>
      <c r="D37" s="1233" t="s">
        <v>2328</v>
      </c>
      <c r="H37" s="1229">
        <f>+'Working Capital'!E21</f>
        <v>364902038.14583331</v>
      </c>
    </row>
    <row r="38" spans="2:8">
      <c r="B38" s="828">
        <f t="shared" ca="1" si="3"/>
        <v>17</v>
      </c>
      <c r="D38" s="1233" t="s">
        <v>2329</v>
      </c>
      <c r="H38" s="1232">
        <f>+'Working Capital'!E40</f>
        <v>254451181.82653451</v>
      </c>
    </row>
    <row r="39" spans="2:8">
      <c r="B39" s="828">
        <f t="shared" ca="1" si="3"/>
        <v>18</v>
      </c>
      <c r="D39" s="1233" t="s">
        <v>2330</v>
      </c>
      <c r="H39" s="1230">
        <f>+H38/H37</f>
        <v>0.69731367662255406</v>
      </c>
    </row>
    <row r="40" spans="2:8">
      <c r="D40" s="1233"/>
    </row>
    <row r="41" spans="2:8">
      <c r="B41" s="828">
        <f ca="1">+MAX(OFFSET($B$9,0,0,ROW($B41)-ROW($B$9),1))+1</f>
        <v>19</v>
      </c>
      <c r="D41" s="1233" t="s">
        <v>2331</v>
      </c>
      <c r="H41" s="930">
        <f>+H35*H39</f>
        <v>-25775028.508942135</v>
      </c>
    </row>
    <row r="42" spans="2:8">
      <c r="D42" s="1233"/>
    </row>
    <row r="43" spans="2:8">
      <c r="B43" s="828">
        <f ca="1">+MAX(OFFSET($B$9,0,0,ROW($B43)-ROW($B$9),1))+1</f>
        <v>20</v>
      </c>
      <c r="D43" s="1233" t="s">
        <v>2332</v>
      </c>
    </row>
    <row r="44" spans="2:8">
      <c r="D44" s="1233"/>
    </row>
  </sheetData>
  <pageMargins left="0.7" right="0.7" top="0.75" bottom="0.75" header="0.3" footer="0.3"/>
  <pageSetup scale="75" orientation="landscape" r:id="rId1"/>
  <headerFooter>
    <oddFooter>&amp;R&amp;"Times New Roman,Regular"&amp;9 26678.897\4829-5163-7600.v1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8"/>
  <sheetViews>
    <sheetView zoomScale="85" zoomScaleNormal="85" workbookViewId="0"/>
  </sheetViews>
  <sheetFormatPr defaultColWidth="9.140625" defaultRowHeight="12.75"/>
  <cols>
    <col min="1" max="1" width="6.7109375" style="822" customWidth="1"/>
    <col min="2" max="2" width="48.42578125" style="822" customWidth="1"/>
    <col min="3" max="3" width="16.5703125" style="822" customWidth="1"/>
    <col min="4" max="10" width="13" style="822" customWidth="1"/>
    <col min="11" max="16384" width="9.140625" style="822"/>
  </cols>
  <sheetData>
    <row r="1" spans="1:10" ht="14.25">
      <c r="A1" s="1158" t="s">
        <v>53</v>
      </c>
    </row>
    <row r="2" spans="1:10" ht="15">
      <c r="A2" s="1163" t="s">
        <v>2300</v>
      </c>
    </row>
    <row r="3" spans="1:10" ht="15">
      <c r="A3" s="1116" t="s">
        <v>2283</v>
      </c>
      <c r="B3" s="915"/>
    </row>
    <row r="4" spans="1:10">
      <c r="B4" s="943"/>
      <c r="C4" s="828"/>
      <c r="D4" s="952"/>
      <c r="E4" s="952"/>
      <c r="F4" s="952"/>
      <c r="G4" s="952"/>
      <c r="H4" s="952"/>
      <c r="I4" s="952"/>
      <c r="J4" s="952"/>
    </row>
    <row r="5" spans="1:10">
      <c r="C5" s="828"/>
      <c r="D5" s="952"/>
      <c r="E5" s="952"/>
      <c r="F5" s="952"/>
      <c r="G5" s="952"/>
      <c r="H5" s="952"/>
      <c r="I5" s="952"/>
      <c r="J5" s="952"/>
    </row>
    <row r="6" spans="1:10">
      <c r="A6" s="828" t="s">
        <v>368</v>
      </c>
      <c r="C6" s="828"/>
      <c r="D6" s="952"/>
      <c r="E6" s="953"/>
      <c r="F6" s="952"/>
      <c r="G6" s="952"/>
      <c r="H6" s="952"/>
      <c r="I6" s="952"/>
      <c r="J6" s="952"/>
    </row>
    <row r="7" spans="1:10">
      <c r="A7" s="822">
        <f ca="1">+MAX(OFFSET($A$1,0,0,ROW($A7)-ROW($A$1),1))+1</f>
        <v>1</v>
      </c>
      <c r="B7" s="954" t="s">
        <v>2186</v>
      </c>
      <c r="C7" s="828"/>
    </row>
    <row r="8" spans="1:10">
      <c r="A8" s="822">
        <f ca="1">+MAX(OFFSET($A$1,0,0,ROW($A8)-ROW($A$1),1))+1</f>
        <v>2</v>
      </c>
      <c r="B8" s="822" t="s">
        <v>35</v>
      </c>
      <c r="C8" s="955" t="s">
        <v>2262</v>
      </c>
      <c r="D8" s="849">
        <f>+'1) Lead Sheet'!K10</f>
        <v>280062.0514221809</v>
      </c>
    </row>
    <row r="9" spans="1:10">
      <c r="A9" s="822">
        <f ca="1">+MAX(OFFSET($A$1,0,0,ROW($A9)-ROW($A$1),1))+1</f>
        <v>3</v>
      </c>
      <c r="B9" s="822" t="s">
        <v>2185</v>
      </c>
      <c r="C9" s="955"/>
      <c r="D9" s="956">
        <v>0.5</v>
      </c>
    </row>
    <row r="10" spans="1:10">
      <c r="A10" s="822">
        <f ca="1">+MAX(OFFSET($A$1,0,0,ROW($A10)-ROW($A$1),1))+1</f>
        <v>4</v>
      </c>
      <c r="B10" s="822" t="s">
        <v>2184</v>
      </c>
      <c r="C10" s="828" t="str">
        <f ca="1">"Line "&amp;A8&amp;" * Line "&amp;A9</f>
        <v>Line 2 * Line 3</v>
      </c>
      <c r="D10" s="849">
        <f>+D8*D9</f>
        <v>140031.02571109045</v>
      </c>
    </row>
    <row r="11" spans="1:10">
      <c r="C11" s="828"/>
      <c r="D11" s="957"/>
    </row>
    <row r="12" spans="1:10">
      <c r="A12" s="822">
        <f ca="1">+MAX(OFFSET($A$1,0,0,ROW($A12)-ROW($A$1),1))+1</f>
        <v>5</v>
      </c>
      <c r="B12" s="822" t="s">
        <v>2183</v>
      </c>
      <c r="C12" s="955"/>
      <c r="D12" s="958">
        <v>9.4E-2</v>
      </c>
    </row>
    <row r="13" spans="1:10">
      <c r="C13" s="828"/>
      <c r="D13" s="851"/>
    </row>
    <row r="14" spans="1:10">
      <c r="A14" s="822">
        <f ca="1">+MAX(OFFSET($A$1,0,0,ROW($A14)-ROW($A$1),1))+1</f>
        <v>6</v>
      </c>
      <c r="B14" s="822" t="s">
        <v>2182</v>
      </c>
      <c r="C14" s="828" t="str">
        <f ca="1">"Line "&amp;A12&amp;" * (1 - 35%)"</f>
        <v>Line 5 * (1 - 35%)</v>
      </c>
      <c r="D14" s="851">
        <f>+D12/(1-0.35)</f>
        <v>0.14461538461538462</v>
      </c>
    </row>
    <row r="15" spans="1:10">
      <c r="A15" s="822">
        <f ca="1">+MAX(OFFSET($A$1,0,0,ROW($A15)-ROW($A$1),1))+1</f>
        <v>7</v>
      </c>
      <c r="B15" s="822" t="s">
        <v>2181</v>
      </c>
      <c r="C15" s="828" t="str">
        <f ca="1">"Line "&amp;A10&amp;" * Line "&amp;A12</f>
        <v>Line 4 * Line 5</v>
      </c>
      <c r="D15" s="959">
        <f>+D14*D10</f>
        <v>20250.640641296159</v>
      </c>
    </row>
    <row r="16" spans="1:10">
      <c r="C16" s="828"/>
      <c r="D16" s="851"/>
    </row>
    <row r="17" spans="1:10">
      <c r="A17" s="822">
        <f ca="1">+MAX(OFFSET($A$1,0,0,ROW($A17)-ROW($A$1),1))+1</f>
        <v>8</v>
      </c>
      <c r="B17" s="822" t="s">
        <v>2180</v>
      </c>
      <c r="C17" s="828" t="str">
        <f ca="1">"Line "&amp;A15&amp;" * (1 - 21%)"</f>
        <v>Line 7 * (1 - 21%)</v>
      </c>
      <c r="D17" s="851">
        <f>+D12/(1-0.21)</f>
        <v>0.11898734177215189</v>
      </c>
    </row>
    <row r="18" spans="1:10">
      <c r="A18" s="822">
        <f ca="1">+MAX(OFFSET($A$1,0,0,ROW($A18)-ROW($A$1),1))+1</f>
        <v>9</v>
      </c>
      <c r="B18" s="822" t="s">
        <v>2179</v>
      </c>
      <c r="C18" s="828" t="str">
        <f ca="1">"Line "&amp;A13&amp;" * Line "&amp;A15</f>
        <v>Line  * Line 7</v>
      </c>
      <c r="D18" s="959">
        <f>+D17*D10</f>
        <v>16661.91951499051</v>
      </c>
    </row>
    <row r="19" spans="1:10">
      <c r="C19" s="828"/>
      <c r="D19" s="846"/>
    </row>
    <row r="20" spans="1:10">
      <c r="A20" s="822">
        <f ca="1">+MAX(OFFSET($A$1,0,0,ROW($A20)-ROW($A$1),1))+1</f>
        <v>10</v>
      </c>
      <c r="B20" s="821" t="s">
        <v>2178</v>
      </c>
      <c r="C20" s="828" t="str">
        <f ca="1">"Line "&amp;A18&amp;" * Line "&amp;A19</f>
        <v xml:space="preserve">Line 9 * Line </v>
      </c>
      <c r="D20" s="845">
        <f>+D18-D15</f>
        <v>-3588.7211263056488</v>
      </c>
    </row>
    <row r="21" spans="1:10">
      <c r="C21" s="828"/>
      <c r="D21" s="846"/>
    </row>
    <row r="22" spans="1:10">
      <c r="C22" s="828"/>
      <c r="D22" s="846"/>
    </row>
    <row r="23" spans="1:10">
      <c r="A23" s="822">
        <f ca="1">+MAX(OFFSET($A$1,0,0,ROW($A23)-ROW($A$1),1))+1</f>
        <v>11</v>
      </c>
      <c r="B23" s="954" t="s">
        <v>2177</v>
      </c>
      <c r="C23" s="828"/>
      <c r="D23" s="960">
        <v>43101</v>
      </c>
      <c r="E23" s="960">
        <f>+EDATE(D23,1)</f>
        <v>43132</v>
      </c>
      <c r="F23" s="960">
        <f>+EDATE(E23,1)</f>
        <v>43160</v>
      </c>
      <c r="G23" s="960">
        <f>+EDATE(F23,1)</f>
        <v>43191</v>
      </c>
      <c r="H23" s="960">
        <f t="shared" ref="H23:J23" si="0">+EDATE(G23,1)</f>
        <v>43221</v>
      </c>
      <c r="I23" s="960">
        <f t="shared" si="0"/>
        <v>43252</v>
      </c>
      <c r="J23" s="960">
        <f t="shared" si="0"/>
        <v>43282</v>
      </c>
    </row>
    <row r="24" spans="1:10">
      <c r="C24" s="828"/>
      <c r="D24" s="846"/>
      <c r="E24" s="846"/>
      <c r="F24" s="846"/>
      <c r="G24" s="846"/>
      <c r="H24" s="846"/>
      <c r="I24" s="846"/>
      <c r="J24" s="846"/>
    </row>
    <row r="25" spans="1:10">
      <c r="A25" s="822">
        <f ca="1">+MAX(OFFSET($A$1,0,0,ROW($A25)-ROW($A$1),1))+1</f>
        <v>12</v>
      </c>
      <c r="B25" s="822" t="s">
        <v>2176</v>
      </c>
      <c r="C25" s="828" t="str">
        <f ca="1">"Line "&amp;A20&amp;" / 12"</f>
        <v>Line 10 / 12</v>
      </c>
      <c r="D25" s="846">
        <f>-D20/12</f>
        <v>299.06009385880407</v>
      </c>
      <c r="E25" s="846">
        <f>+D25</f>
        <v>299.06009385880407</v>
      </c>
      <c r="F25" s="846">
        <f>+E25</f>
        <v>299.06009385880407</v>
      </c>
      <c r="G25" s="846">
        <f>+F25</f>
        <v>299.06009385880407</v>
      </c>
      <c r="H25" s="846">
        <f t="shared" ref="H25:J25" si="1">+G25</f>
        <v>299.06009385880407</v>
      </c>
      <c r="I25" s="846">
        <f t="shared" si="1"/>
        <v>299.06009385880407</v>
      </c>
      <c r="J25" s="846">
        <f t="shared" si="1"/>
        <v>299.06009385880407</v>
      </c>
    </row>
    <row r="26" spans="1:10">
      <c r="C26" s="828"/>
      <c r="D26" s="846"/>
      <c r="E26" s="846"/>
      <c r="F26" s="846"/>
      <c r="G26" s="846"/>
      <c r="H26" s="846"/>
      <c r="I26" s="846"/>
      <c r="J26" s="846"/>
    </row>
    <row r="27" spans="1:10">
      <c r="A27" s="822">
        <f ca="1">+MAX(OFFSET($A$1,0,0,ROW($A27)-ROW($A$1),1))+1</f>
        <v>13</v>
      </c>
      <c r="B27" s="822" t="s">
        <v>2175</v>
      </c>
      <c r="C27" s="828" t="s">
        <v>2333</v>
      </c>
      <c r="D27" s="857">
        <f>-'10) TCJA-2 EDFIT'!P20/12/1000</f>
        <v>155.85136711554759</v>
      </c>
      <c r="E27" s="857">
        <f>+D27</f>
        <v>155.85136711554759</v>
      </c>
      <c r="F27" s="857">
        <f>+E27</f>
        <v>155.85136711554759</v>
      </c>
      <c r="G27" s="857">
        <f>+F27</f>
        <v>155.85136711554759</v>
      </c>
      <c r="H27" s="857">
        <f t="shared" ref="H27:J27" si="2">+G27</f>
        <v>155.85136711554759</v>
      </c>
      <c r="I27" s="857">
        <f t="shared" si="2"/>
        <v>155.85136711554759</v>
      </c>
      <c r="J27" s="857">
        <f t="shared" si="2"/>
        <v>155.85136711554759</v>
      </c>
    </row>
    <row r="28" spans="1:10">
      <c r="A28" s="822">
        <f ca="1">+MAX(OFFSET($A$1,0,0,ROW($A28)-ROW($A$1),1))+1</f>
        <v>14</v>
      </c>
      <c r="B28" s="822" t="s">
        <v>2174</v>
      </c>
      <c r="C28" s="828" t="str">
        <f ca="1">+"Line "&amp;A27&amp;" / (1-21%)"</f>
        <v>Line 13 / (1-21%)</v>
      </c>
      <c r="D28" s="846">
        <f>+D27/(1-0.21)</f>
        <v>197.28021153866783</v>
      </c>
      <c r="E28" s="846">
        <f>+E27/(1-0.21)</f>
        <v>197.28021153866783</v>
      </c>
      <c r="F28" s="846">
        <f>+F27/(1-0.21)</f>
        <v>197.28021153866783</v>
      </c>
      <c r="G28" s="846">
        <f>+G27/(1-0.21)</f>
        <v>197.28021153866783</v>
      </c>
      <c r="H28" s="846">
        <f t="shared" ref="H28:J28" si="3">+H27/(1-0.21)</f>
        <v>197.28021153866783</v>
      </c>
      <c r="I28" s="846">
        <f t="shared" si="3"/>
        <v>197.28021153866783</v>
      </c>
      <c r="J28" s="846">
        <f t="shared" si="3"/>
        <v>197.28021153866783</v>
      </c>
    </row>
    <row r="29" spans="1:10">
      <c r="C29" s="828"/>
      <c r="D29" s="846"/>
      <c r="E29" s="846"/>
      <c r="F29" s="846"/>
      <c r="G29" s="846"/>
      <c r="H29" s="846"/>
      <c r="I29" s="846"/>
      <c r="J29" s="846"/>
    </row>
    <row r="30" spans="1:10">
      <c r="A30" s="822">
        <f ca="1">+MAX(OFFSET($A$1,0,0,ROW($A30)-ROW($A$1),1))+1</f>
        <v>15</v>
      </c>
      <c r="B30" s="822" t="s">
        <v>2173</v>
      </c>
      <c r="C30" s="828" t="str">
        <f ca="1">+"Line "&amp;A27&amp;" + Line "&amp;A28</f>
        <v>Line 13 + Line 14</v>
      </c>
      <c r="D30" s="846">
        <f>+D28+D25</f>
        <v>496.34030539747187</v>
      </c>
      <c r="E30" s="846">
        <f t="shared" ref="E30:J30" si="4">+E28+E25</f>
        <v>496.34030539747187</v>
      </c>
      <c r="F30" s="846">
        <f t="shared" si="4"/>
        <v>496.34030539747187</v>
      </c>
      <c r="G30" s="846">
        <f t="shared" si="4"/>
        <v>496.34030539747187</v>
      </c>
      <c r="H30" s="846">
        <f t="shared" si="4"/>
        <v>496.34030539747187</v>
      </c>
      <c r="I30" s="846">
        <f t="shared" si="4"/>
        <v>496.34030539747187</v>
      </c>
      <c r="J30" s="846">
        <f t="shared" si="4"/>
        <v>496.34030539747187</v>
      </c>
    </row>
    <row r="31" spans="1:10">
      <c r="C31" s="828"/>
    </row>
    <row r="32" spans="1:10">
      <c r="A32" s="822">
        <f ca="1">+MAX(OFFSET($A$1,0,0,ROW($A32)-ROW($A$1),1))+1</f>
        <v>16</v>
      </c>
      <c r="B32" s="822" t="s">
        <v>2172</v>
      </c>
      <c r="C32" s="828"/>
      <c r="D32" s="851">
        <f>+('1) Lead Sheet'!AK13+'1) Lead Sheet'!AK14/(1-'1) Lead Sheet'!AJ8))/12</f>
        <v>7.1644725738396623E-3</v>
      </c>
      <c r="E32" s="851">
        <f>+D32</f>
        <v>7.1644725738396623E-3</v>
      </c>
      <c r="F32" s="851">
        <f>+E32</f>
        <v>7.1644725738396623E-3</v>
      </c>
      <c r="G32" s="851">
        <f>+F32</f>
        <v>7.1644725738396623E-3</v>
      </c>
      <c r="H32" s="851">
        <f t="shared" ref="H32:J32" si="5">+G32</f>
        <v>7.1644725738396623E-3</v>
      </c>
      <c r="I32" s="851">
        <f t="shared" si="5"/>
        <v>7.1644725738396623E-3</v>
      </c>
      <c r="J32" s="851">
        <f t="shared" si="5"/>
        <v>7.1644725738396623E-3</v>
      </c>
    </row>
    <row r="33" spans="1:10">
      <c r="C33" s="828"/>
    </row>
    <row r="34" spans="1:10">
      <c r="A34" s="822">
        <f ca="1">+MAX(OFFSET($A$1,0,0,ROW($A34)-ROW($A$1),1))+1</f>
        <v>17</v>
      </c>
      <c r="B34" s="822" t="s">
        <v>2171</v>
      </c>
      <c r="C34" s="828"/>
    </row>
    <row r="35" spans="1:10">
      <c r="A35" s="822">
        <f ca="1">+MAX(OFFSET($A$1,0,0,ROW($A35)-ROW($A$1),1))+1</f>
        <v>18</v>
      </c>
      <c r="B35" s="822" t="s">
        <v>2170</v>
      </c>
      <c r="C35" s="828"/>
      <c r="D35" s="846">
        <v>0</v>
      </c>
      <c r="E35" s="846">
        <f>+D38</f>
        <v>496.34030539747187</v>
      </c>
      <c r="F35" s="846">
        <f>+E38</f>
        <v>992.68061079494373</v>
      </c>
      <c r="G35" s="846">
        <f>+F38</f>
        <v>1489.0209161924156</v>
      </c>
      <c r="H35" s="846">
        <f t="shared" ref="H35:J35" si="6">+G38</f>
        <v>1985.3612215898875</v>
      </c>
      <c r="I35" s="846">
        <f t="shared" si="6"/>
        <v>2481.7015269873591</v>
      </c>
      <c r="J35" s="846">
        <f t="shared" si="6"/>
        <v>2978.0418323848307</v>
      </c>
    </row>
    <row r="36" spans="1:10">
      <c r="A36" s="822">
        <f ca="1">+MAX(OFFSET($A$1,0,0,ROW($A36)-ROW($A$1),1))+1</f>
        <v>19</v>
      </c>
      <c r="B36" s="822" t="s">
        <v>1009</v>
      </c>
      <c r="C36" s="828" t="str">
        <f ca="1">"Line " &amp;A30</f>
        <v>Line 15</v>
      </c>
      <c r="D36" s="846">
        <f>+D30</f>
        <v>496.34030539747187</v>
      </c>
      <c r="E36" s="846">
        <f>+E30</f>
        <v>496.34030539747187</v>
      </c>
      <c r="F36" s="846">
        <f>+F30</f>
        <v>496.34030539747187</v>
      </c>
      <c r="G36" s="846">
        <f>+G30</f>
        <v>496.34030539747187</v>
      </c>
      <c r="H36" s="846">
        <f t="shared" ref="H36:J36" si="7">+H30</f>
        <v>496.34030539747187</v>
      </c>
      <c r="I36" s="846">
        <f t="shared" si="7"/>
        <v>496.34030539747187</v>
      </c>
      <c r="J36" s="846">
        <f t="shared" si="7"/>
        <v>496.34030539747187</v>
      </c>
    </row>
    <row r="37" spans="1:10" ht="22.5">
      <c r="A37" s="822">
        <f ca="1">+MAX(OFFSET($A$1,0,0,ROW($A37)-ROW($A$1),1))+1</f>
        <v>20</v>
      </c>
      <c r="B37" s="822" t="s">
        <v>2169</v>
      </c>
      <c r="C37" s="961" t="str">
        <f ca="1">"Line "&amp;A32&amp;" * (Line "&amp;A34&amp;" + Line "&amp;A35&amp;" / 2 )"</f>
        <v>Line 16 * (Line 17 + Line 18 / 2 )</v>
      </c>
      <c r="D37" s="857">
        <f>+D35*D32+D36/2*D32</f>
        <v>1.7780082526556946</v>
      </c>
      <c r="E37" s="857">
        <f>+E35*E32+E36/2*E32</f>
        <v>5.3340247579670841</v>
      </c>
      <c r="F37" s="857">
        <f>+F35*F32+F36/2*F32</f>
        <v>8.8900412632784729</v>
      </c>
      <c r="G37" s="857">
        <f>+G35*G32+G36/2*G32</f>
        <v>12.446057768589863</v>
      </c>
      <c r="H37" s="857">
        <f t="shared" ref="H37:J37" si="8">+H35*H32+H36/2*H32</f>
        <v>16.00207427390125</v>
      </c>
      <c r="I37" s="857">
        <f t="shared" si="8"/>
        <v>19.558090779212641</v>
      </c>
      <c r="J37" s="857">
        <f t="shared" si="8"/>
        <v>23.114107284524028</v>
      </c>
    </row>
    <row r="38" spans="1:10">
      <c r="A38" s="822">
        <f ca="1">+MAX(OFFSET($A$1,0,0,ROW($A38)-ROW($A$1),1))+1</f>
        <v>21</v>
      </c>
      <c r="B38" s="822" t="s">
        <v>2168</v>
      </c>
      <c r="C38" s="828" t="str">
        <f ca="1">"∑ Lines " &amp;A35&amp;":"&amp;A37</f>
        <v>∑ Lines 18:20</v>
      </c>
      <c r="D38" s="846">
        <f>+D35+D36</f>
        <v>496.34030539747187</v>
      </c>
      <c r="E38" s="846">
        <f>+E35+E36</f>
        <v>992.68061079494373</v>
      </c>
      <c r="F38" s="846">
        <f>+F35+F36</f>
        <v>1489.0209161924156</v>
      </c>
      <c r="G38" s="846">
        <f>+G35+G36</f>
        <v>1985.3612215898875</v>
      </c>
      <c r="H38" s="846">
        <f t="shared" ref="H38:J38" si="9">+H35+H36</f>
        <v>2481.7015269873591</v>
      </c>
      <c r="I38" s="846">
        <f t="shared" si="9"/>
        <v>2978.0418323848307</v>
      </c>
      <c r="J38" s="1176">
        <f t="shared" si="9"/>
        <v>3474.3821377823024</v>
      </c>
    </row>
  </sheetData>
  <pageMargins left="0.25" right="0.25" top="0.5" bottom="0.75" header="0" footer="0.3"/>
  <pageSetup scale="75" orientation="landscape" r:id="rId1"/>
  <headerFooter>
    <oddFooter>&amp;R&amp;"Times New Roman,Regular"&amp;9 26678.897\4829-5163-7600.v1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3"/>
  <sheetViews>
    <sheetView zoomScale="55" zoomScaleNormal="55" zoomScaleSheetLayoutView="130" workbookViewId="0"/>
  </sheetViews>
  <sheetFormatPr defaultColWidth="9.140625" defaultRowHeight="12.75"/>
  <cols>
    <col min="1" max="1" width="3" style="877" customWidth="1"/>
    <col min="2" max="2" width="12.28515625" style="877" customWidth="1"/>
    <col min="3" max="3" width="3" style="877" customWidth="1"/>
    <col min="4" max="4" width="12.28515625" style="877" customWidth="1"/>
    <col min="5" max="5" width="3" style="877" customWidth="1"/>
    <col min="6" max="6" width="12.28515625" style="877" customWidth="1"/>
    <col min="7" max="7" width="3" style="877" customWidth="1"/>
    <col min="8" max="8" width="12.28515625" style="877" customWidth="1"/>
    <col min="9" max="9" width="3" style="877" customWidth="1"/>
    <col min="10" max="10" width="12.28515625" style="877" customWidth="1"/>
    <col min="11" max="11" width="3" style="877" customWidth="1"/>
    <col min="12" max="12" width="12.28515625" style="877" customWidth="1"/>
    <col min="13" max="13" width="3" style="877" customWidth="1"/>
    <col min="14" max="16384" width="9.140625" style="877"/>
  </cols>
  <sheetData>
    <row r="1" spans="1:12" ht="14.25">
      <c r="A1" s="1158" t="s">
        <v>53</v>
      </c>
    </row>
    <row r="2" spans="1:12" ht="15">
      <c r="A2" s="1163" t="s">
        <v>2301</v>
      </c>
    </row>
    <row r="3" spans="1:12" ht="15">
      <c r="A3" s="1116" t="s">
        <v>2283</v>
      </c>
    </row>
    <row r="6" spans="1:12">
      <c r="B6" s="877" t="s">
        <v>1684</v>
      </c>
      <c r="D6" s="879" t="s">
        <v>2189</v>
      </c>
      <c r="E6" s="879"/>
      <c r="F6" s="879" t="s">
        <v>1010</v>
      </c>
      <c r="G6" s="879"/>
      <c r="H6" s="879" t="s">
        <v>2169</v>
      </c>
      <c r="I6" s="879"/>
      <c r="J6" s="879" t="s">
        <v>2169</v>
      </c>
      <c r="K6" s="879"/>
      <c r="L6" s="879" t="s">
        <v>2188</v>
      </c>
    </row>
    <row r="7" spans="1:12">
      <c r="B7" s="886"/>
      <c r="D7" s="885" t="s">
        <v>2171</v>
      </c>
      <c r="E7" s="879"/>
      <c r="F7" s="885"/>
      <c r="G7" s="879"/>
      <c r="H7" s="885" t="s">
        <v>1127</v>
      </c>
      <c r="I7" s="879"/>
      <c r="J7" s="885"/>
      <c r="K7" s="879"/>
      <c r="L7" s="885" t="s">
        <v>2171</v>
      </c>
    </row>
    <row r="8" spans="1:12">
      <c r="B8" s="883">
        <v>43221</v>
      </c>
      <c r="D8" s="878">
        <f>+'11) TCJA-3 Deferral '!J38</f>
        <v>3474.3821377823024</v>
      </c>
      <c r="F8" s="881">
        <v>-160.38330483066915</v>
      </c>
      <c r="H8" s="880">
        <f>+'11) TCJA-3 Deferral '!D32</f>
        <v>7.1644725738396623E-3</v>
      </c>
      <c r="J8" s="878">
        <f t="shared" ref="J8:J31" si="0">+(D8-F8/0.5)*H8</f>
        <v>27.19023911470191</v>
      </c>
      <c r="L8" s="878">
        <f t="shared" ref="L8:L31" si="1">+D8+F8+J8</f>
        <v>3341.189072066335</v>
      </c>
    </row>
    <row r="9" spans="1:12">
      <c r="B9" s="883">
        <f t="shared" ref="B9:B31" si="2">+EDATE(B8,1)</f>
        <v>43252</v>
      </c>
      <c r="D9" s="878">
        <f t="shared" ref="D9:D31" si="3">+L8</f>
        <v>3341.189072066335</v>
      </c>
      <c r="F9" s="884">
        <f t="shared" ref="F9:F31" si="4">+$F$8</f>
        <v>-160.38330483066915</v>
      </c>
      <c r="H9" s="880">
        <f t="shared" ref="H9:H31" si="5">+H8</f>
        <v>7.1644725738396623E-3</v>
      </c>
      <c r="J9" s="878">
        <f t="shared" si="0"/>
        <v>26.23598104835424</v>
      </c>
      <c r="L9" s="878">
        <f t="shared" si="1"/>
        <v>3207.0417482840203</v>
      </c>
    </row>
    <row r="10" spans="1:12">
      <c r="B10" s="883">
        <f t="shared" si="2"/>
        <v>43282</v>
      </c>
      <c r="D10" s="878">
        <f t="shared" si="3"/>
        <v>3207.0417482840203</v>
      </c>
      <c r="F10" s="884">
        <f t="shared" si="4"/>
        <v>-160.38330483066915</v>
      </c>
      <c r="H10" s="880">
        <f t="shared" si="5"/>
        <v>7.1644725738396623E-3</v>
      </c>
      <c r="J10" s="878">
        <f t="shared" si="0"/>
        <v>25.274886226261856</v>
      </c>
      <c r="L10" s="878">
        <f t="shared" si="1"/>
        <v>3071.9333296796131</v>
      </c>
    </row>
    <row r="11" spans="1:12">
      <c r="B11" s="883">
        <f t="shared" si="2"/>
        <v>43313</v>
      </c>
      <c r="D11" s="878">
        <f t="shared" si="3"/>
        <v>3071.9333296796131</v>
      </c>
      <c r="F11" s="884">
        <f t="shared" si="4"/>
        <v>-160.38330483066915</v>
      </c>
      <c r="H11" s="880">
        <f t="shared" si="5"/>
        <v>7.1644725738396623E-3</v>
      </c>
      <c r="J11" s="878">
        <f t="shared" si="0"/>
        <v>24.306905666675732</v>
      </c>
      <c r="L11" s="878">
        <f t="shared" si="1"/>
        <v>2935.8569305156198</v>
      </c>
    </row>
    <row r="12" spans="1:12">
      <c r="B12" s="883">
        <f t="shared" si="2"/>
        <v>43344</v>
      </c>
      <c r="D12" s="878">
        <f t="shared" si="3"/>
        <v>2935.8569305156198</v>
      </c>
      <c r="F12" s="884">
        <f t="shared" si="4"/>
        <v>-160.38330483066915</v>
      </c>
      <c r="H12" s="880">
        <f t="shared" si="5"/>
        <v>7.1644725738396623E-3</v>
      </c>
      <c r="J12" s="878">
        <f t="shared" si="0"/>
        <v>23.331990036918445</v>
      </c>
      <c r="L12" s="878">
        <f t="shared" si="1"/>
        <v>2798.8056157218689</v>
      </c>
    </row>
    <row r="13" spans="1:12">
      <c r="B13" s="883">
        <f t="shared" si="2"/>
        <v>43374</v>
      </c>
      <c r="D13" s="878">
        <f t="shared" si="3"/>
        <v>2798.8056157218689</v>
      </c>
      <c r="F13" s="884">
        <f t="shared" si="4"/>
        <v>-160.38330483066915</v>
      </c>
      <c r="H13" s="880">
        <f t="shared" si="5"/>
        <v>7.1644725738396623E-3</v>
      </c>
      <c r="J13" s="878">
        <f t="shared" si="0"/>
        <v>22.35008965086995</v>
      </c>
      <c r="L13" s="878">
        <f t="shared" si="1"/>
        <v>2660.7724005420696</v>
      </c>
    </row>
    <row r="14" spans="1:12">
      <c r="B14" s="883">
        <f t="shared" si="2"/>
        <v>43405</v>
      </c>
      <c r="D14" s="878">
        <f t="shared" si="3"/>
        <v>2660.7724005420696</v>
      </c>
      <c r="F14" s="884">
        <f t="shared" si="4"/>
        <v>-160.38330483066915</v>
      </c>
      <c r="H14" s="880">
        <f t="shared" si="5"/>
        <v>7.1644725738396623E-3</v>
      </c>
      <c r="J14" s="878">
        <f t="shared" si="0"/>
        <v>21.361154466435369</v>
      </c>
      <c r="L14" s="878">
        <f t="shared" si="1"/>
        <v>2521.7502501778358</v>
      </c>
    </row>
    <row r="15" spans="1:12">
      <c r="B15" s="883">
        <f t="shared" si="2"/>
        <v>43435</v>
      </c>
      <c r="D15" s="878">
        <f t="shared" si="3"/>
        <v>2521.7502501778358</v>
      </c>
      <c r="F15" s="884">
        <f t="shared" si="4"/>
        <v>-160.38330483066915</v>
      </c>
      <c r="H15" s="880">
        <f t="shared" si="5"/>
        <v>7.1644725738396623E-3</v>
      </c>
      <c r="J15" s="878">
        <f t="shared" si="0"/>
        <v>20.365134082994604</v>
      </c>
      <c r="L15" s="878">
        <f t="shared" si="1"/>
        <v>2381.7320794301613</v>
      </c>
    </row>
    <row r="16" spans="1:12">
      <c r="B16" s="883">
        <f t="shared" si="2"/>
        <v>43466</v>
      </c>
      <c r="D16" s="878">
        <f t="shared" si="3"/>
        <v>2381.7320794301613</v>
      </c>
      <c r="F16" s="884">
        <f t="shared" si="4"/>
        <v>-160.38330483066915</v>
      </c>
      <c r="H16" s="880">
        <f t="shared" si="5"/>
        <v>7.1644725738396623E-3</v>
      </c>
      <c r="J16" s="878">
        <f t="shared" si="0"/>
        <v>19.361977738833691</v>
      </c>
      <c r="L16" s="878">
        <f t="shared" si="1"/>
        <v>2240.7107523383256</v>
      </c>
    </row>
    <row r="17" spans="2:13">
      <c r="B17" s="883">
        <f t="shared" si="2"/>
        <v>43497</v>
      </c>
      <c r="D17" s="878">
        <f t="shared" si="3"/>
        <v>2240.7107523383256</v>
      </c>
      <c r="F17" s="884">
        <f t="shared" si="4"/>
        <v>-160.38330483066915</v>
      </c>
      <c r="H17" s="880">
        <f t="shared" si="5"/>
        <v>7.1644725738396623E-3</v>
      </c>
      <c r="J17" s="878">
        <f t="shared" si="0"/>
        <v>18.35163430855776</v>
      </c>
      <c r="L17" s="878">
        <f t="shared" si="1"/>
        <v>2098.679081816214</v>
      </c>
    </row>
    <row r="18" spans="2:13">
      <c r="B18" s="883">
        <f t="shared" si="2"/>
        <v>43525</v>
      </c>
      <c r="D18" s="878">
        <f t="shared" si="3"/>
        <v>2098.679081816214</v>
      </c>
      <c r="F18" s="884">
        <f t="shared" si="4"/>
        <v>-160.38330483066915</v>
      </c>
      <c r="H18" s="880">
        <f t="shared" si="5"/>
        <v>7.1644725738396623E-3</v>
      </c>
      <c r="J18" s="878">
        <f t="shared" si="0"/>
        <v>17.33405230048546</v>
      </c>
      <c r="L18" s="878">
        <f t="shared" si="1"/>
        <v>1955.6298292860301</v>
      </c>
    </row>
    <row r="19" spans="2:13">
      <c r="B19" s="883">
        <f t="shared" si="2"/>
        <v>43556</v>
      </c>
      <c r="D19" s="878">
        <f t="shared" si="3"/>
        <v>1955.6298292860301</v>
      </c>
      <c r="F19" s="884">
        <f t="shared" si="4"/>
        <v>-160.38330483066915</v>
      </c>
      <c r="H19" s="880">
        <f t="shared" si="5"/>
        <v>7.1644725738396623E-3</v>
      </c>
      <c r="J19" s="878">
        <f t="shared" si="0"/>
        <v>16.309179854024695</v>
      </c>
      <c r="L19" s="878">
        <f t="shared" si="1"/>
        <v>1811.5557043093856</v>
      </c>
    </row>
    <row r="20" spans="2:13">
      <c r="B20" s="883">
        <f t="shared" si="2"/>
        <v>43586</v>
      </c>
      <c r="D20" s="878">
        <f t="shared" si="3"/>
        <v>1811.5557043093856</v>
      </c>
      <c r="F20" s="884">
        <f t="shared" si="4"/>
        <v>-160.38330483066915</v>
      </c>
      <c r="H20" s="880">
        <f t="shared" si="5"/>
        <v>7.1644725738396623E-3</v>
      </c>
      <c r="J20" s="878">
        <f t="shared" si="0"/>
        <v>15.276964737029576</v>
      </c>
      <c r="L20" s="878">
        <f t="shared" si="1"/>
        <v>1666.4493642157461</v>
      </c>
    </row>
    <row r="21" spans="2:13">
      <c r="B21" s="883">
        <f t="shared" si="2"/>
        <v>43617</v>
      </c>
      <c r="D21" s="878">
        <f t="shared" si="3"/>
        <v>1666.4493642157461</v>
      </c>
      <c r="F21" s="884">
        <f t="shared" si="4"/>
        <v>-160.38330483066915</v>
      </c>
      <c r="H21" s="880">
        <f t="shared" si="5"/>
        <v>7.1644725738396623E-3</v>
      </c>
      <c r="J21" s="878">
        <f t="shared" si="0"/>
        <v>14.237354343138446</v>
      </c>
      <c r="L21" s="878">
        <f t="shared" si="1"/>
        <v>1520.3034137282152</v>
      </c>
    </row>
    <row r="22" spans="2:13">
      <c r="B22" s="883">
        <f t="shared" si="2"/>
        <v>43647</v>
      </c>
      <c r="D22" s="878">
        <f t="shared" si="3"/>
        <v>1520.3034137282152</v>
      </c>
      <c r="F22" s="884">
        <f t="shared" si="4"/>
        <v>-160.38330483066915</v>
      </c>
      <c r="H22" s="880">
        <f t="shared" si="5"/>
        <v>7.1644725738396623E-3</v>
      </c>
      <c r="J22" s="878">
        <f t="shared" si="0"/>
        <v>13.190295689092803</v>
      </c>
      <c r="L22" s="878">
        <f t="shared" si="1"/>
        <v>1373.1104045866389</v>
      </c>
    </row>
    <row r="23" spans="2:13">
      <c r="B23" s="883">
        <f t="shared" si="2"/>
        <v>43678</v>
      </c>
      <c r="D23" s="878">
        <f t="shared" si="3"/>
        <v>1373.1104045866389</v>
      </c>
      <c r="F23" s="884">
        <f t="shared" si="4"/>
        <v>-160.38330483066915</v>
      </c>
      <c r="H23" s="880">
        <f t="shared" si="5"/>
        <v>7.1644725738396623E-3</v>
      </c>
      <c r="J23" s="878">
        <f t="shared" si="0"/>
        <v>12.135735412037047</v>
      </c>
      <c r="L23" s="878">
        <f t="shared" si="1"/>
        <v>1224.8628351680068</v>
      </c>
    </row>
    <row r="24" spans="2:13">
      <c r="B24" s="883">
        <f t="shared" si="2"/>
        <v>43709</v>
      </c>
      <c r="D24" s="878">
        <f t="shared" si="3"/>
        <v>1224.8628351680068</v>
      </c>
      <c r="F24" s="884">
        <f t="shared" si="4"/>
        <v>-160.38330483066915</v>
      </c>
      <c r="H24" s="880">
        <f t="shared" si="5"/>
        <v>7.1644725738396623E-3</v>
      </c>
      <c r="J24" s="878">
        <f t="shared" si="0"/>
        <v>11.073619766798867</v>
      </c>
      <c r="L24" s="878">
        <f t="shared" si="1"/>
        <v>1075.5531501041364</v>
      </c>
    </row>
    <row r="25" spans="2:13">
      <c r="B25" s="883">
        <f t="shared" si="2"/>
        <v>43739</v>
      </c>
      <c r="D25" s="878">
        <f t="shared" si="3"/>
        <v>1075.5531501041364</v>
      </c>
      <c r="F25" s="884">
        <f t="shared" si="4"/>
        <v>-160.38330483066915</v>
      </c>
      <c r="H25" s="880">
        <f t="shared" si="5"/>
        <v>7.1644725738396623E-3</v>
      </c>
      <c r="J25" s="878">
        <f t="shared" si="0"/>
        <v>10.00389462315013</v>
      </c>
      <c r="L25" s="878">
        <f t="shared" si="1"/>
        <v>925.17373989661735</v>
      </c>
    </row>
    <row r="26" spans="2:13">
      <c r="B26" s="883">
        <f t="shared" si="2"/>
        <v>43770</v>
      </c>
      <c r="D26" s="878">
        <f t="shared" si="3"/>
        <v>925.17373989661735</v>
      </c>
      <c r="F26" s="884">
        <f t="shared" si="4"/>
        <v>-160.38330483066915</v>
      </c>
      <c r="H26" s="880">
        <f t="shared" si="5"/>
        <v>7.1644725738396623E-3</v>
      </c>
      <c r="J26" s="878">
        <f t="shared" si="0"/>
        <v>8.9265054630481746</v>
      </c>
      <c r="L26" s="878">
        <f t="shared" si="1"/>
        <v>773.71694052899647</v>
      </c>
    </row>
    <row r="27" spans="2:13">
      <c r="B27" s="883">
        <f t="shared" si="2"/>
        <v>43800</v>
      </c>
      <c r="D27" s="878">
        <f t="shared" si="3"/>
        <v>773.71694052899647</v>
      </c>
      <c r="F27" s="884">
        <f t="shared" si="4"/>
        <v>-160.38330483066915</v>
      </c>
      <c r="H27" s="880">
        <f t="shared" si="5"/>
        <v>7.1644725738396623E-3</v>
      </c>
      <c r="J27" s="878">
        <f t="shared" si="0"/>
        <v>7.8413973778573194</v>
      </c>
      <c r="L27" s="878">
        <f t="shared" si="1"/>
        <v>621.1750330761846</v>
      </c>
    </row>
    <row r="28" spans="2:13">
      <c r="B28" s="883">
        <f t="shared" si="2"/>
        <v>43831</v>
      </c>
      <c r="D28" s="878">
        <f t="shared" si="3"/>
        <v>621.1750330761846</v>
      </c>
      <c r="F28" s="884">
        <f t="shared" si="4"/>
        <v>-160.38330483066915</v>
      </c>
      <c r="H28" s="880">
        <f t="shared" si="5"/>
        <v>7.1644725738396623E-3</v>
      </c>
      <c r="J28" s="878">
        <f t="shared" si="0"/>
        <v>6.7485150655504604</v>
      </c>
      <c r="L28" s="878">
        <f t="shared" si="1"/>
        <v>467.54024331106592</v>
      </c>
    </row>
    <row r="29" spans="2:13">
      <c r="B29" s="883">
        <f t="shared" si="2"/>
        <v>43862</v>
      </c>
      <c r="D29" s="878">
        <f t="shared" si="3"/>
        <v>467.54024331106592</v>
      </c>
      <c r="F29" s="884">
        <f t="shared" si="4"/>
        <v>-160.38330483066915</v>
      </c>
      <c r="H29" s="880">
        <f t="shared" si="5"/>
        <v>7.1644725738396623E-3</v>
      </c>
      <c r="J29" s="878">
        <f t="shared" si="0"/>
        <v>5.6478028278906445</v>
      </c>
      <c r="L29" s="878">
        <f t="shared" si="1"/>
        <v>312.80474130828742</v>
      </c>
    </row>
    <row r="30" spans="2:13">
      <c r="B30" s="883">
        <f t="shared" si="2"/>
        <v>43891</v>
      </c>
      <c r="D30" s="878">
        <f t="shared" si="3"/>
        <v>312.80474130828742</v>
      </c>
      <c r="F30" s="884">
        <f t="shared" si="4"/>
        <v>-160.38330483066915</v>
      </c>
      <c r="H30" s="880">
        <f t="shared" si="5"/>
        <v>7.1644725738396623E-3</v>
      </c>
      <c r="J30" s="878">
        <f t="shared" si="0"/>
        <v>4.5392045675924262</v>
      </c>
      <c r="L30" s="878">
        <f t="shared" si="1"/>
        <v>156.96064104521071</v>
      </c>
    </row>
    <row r="31" spans="2:13">
      <c r="B31" s="883">
        <f t="shared" si="2"/>
        <v>43922</v>
      </c>
      <c r="D31" s="878">
        <f t="shared" si="3"/>
        <v>156.96064104521071</v>
      </c>
      <c r="F31" s="884">
        <f t="shared" si="4"/>
        <v>-160.38330483066915</v>
      </c>
      <c r="H31" s="880">
        <f t="shared" si="5"/>
        <v>7.1644725738396623E-3</v>
      </c>
      <c r="J31" s="878">
        <f t="shared" si="0"/>
        <v>3.4226637854628947</v>
      </c>
      <c r="L31" s="878">
        <f t="shared" si="1"/>
        <v>4.4551029532158282E-12</v>
      </c>
      <c r="M31" s="877" t="s">
        <v>2187</v>
      </c>
    </row>
    <row r="33" spans="2:6">
      <c r="B33" s="882" t="s">
        <v>2190</v>
      </c>
      <c r="C33" s="882"/>
      <c r="D33" s="882"/>
      <c r="E33" s="882"/>
      <c r="F33" s="881">
        <f>+F8*12</f>
        <v>-1924.5996579680298</v>
      </c>
    </row>
  </sheetData>
  <pageMargins left="0.7" right="0.7" top="0.75" bottom="0.75" header="0.3" footer="0.3"/>
  <pageSetup scale="75" orientation="portrait" r:id="rId1"/>
  <headerFooter>
    <oddFooter>&amp;R&amp;"Times New Roman,Regular"&amp;9 26678.897\4829-5163-7600.v1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5"/>
  <sheetData/>
  <pageMargins left="0.7" right="0.7" top="0.75" bottom="0.75" header="0.3" footer="0.3"/>
  <pageSetup orientation="portrait" r:id="rId1"/>
  <headerFooter>
    <oddFooter>&amp;R&amp;"Times New Roman,Regular"&amp;9 26678.897\4829-5163-7600.v1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7"/>
  <sheetViews>
    <sheetView view="pageBreakPreview" zoomScaleNormal="100" zoomScaleSheetLayoutView="100" workbookViewId="0"/>
  </sheetViews>
  <sheetFormatPr defaultColWidth="9.140625" defaultRowHeight="15.75"/>
  <cols>
    <col min="1" max="1" width="9.42578125" style="6" bestFit="1" customWidth="1"/>
    <col min="2" max="2" width="33" style="4" bestFit="1" customWidth="1"/>
    <col min="3" max="3" width="10.28515625" style="4" bestFit="1" customWidth="1"/>
    <col min="4" max="4" width="27.28515625" style="4" customWidth="1"/>
    <col min="5" max="5" width="18.140625" style="26" bestFit="1" customWidth="1"/>
    <col min="6" max="6" width="11.28515625" style="4" bestFit="1" customWidth="1"/>
    <col min="7" max="7" width="10.140625" style="4" bestFit="1" customWidth="1"/>
    <col min="8" max="8" width="13.5703125" style="4" bestFit="1" customWidth="1"/>
    <col min="9" max="9" width="9.140625" style="4"/>
    <col min="10" max="10" width="9.7109375" style="4" bestFit="1" customWidth="1"/>
    <col min="11" max="11" width="9.140625" style="4"/>
    <col min="12" max="12" width="18.140625" style="26" customWidth="1"/>
    <col min="13" max="13" width="11.28515625" style="4" customWidth="1"/>
    <col min="14" max="16384" width="9.140625" style="4"/>
  </cols>
  <sheetData>
    <row r="1" spans="1:13">
      <c r="B1" s="1244" t="s">
        <v>53</v>
      </c>
      <c r="C1" s="1244"/>
      <c r="D1" s="1244"/>
      <c r="E1" s="1244"/>
      <c r="F1" s="1244"/>
      <c r="G1" s="3"/>
      <c r="H1" s="3"/>
      <c r="I1" s="3"/>
      <c r="L1" s="4"/>
    </row>
    <row r="2" spans="1:13">
      <c r="B2" s="1244" t="s">
        <v>1659</v>
      </c>
      <c r="C2" s="1244"/>
      <c r="D2" s="1244"/>
      <c r="E2" s="1244"/>
      <c r="F2" s="1244"/>
      <c r="G2" s="3"/>
      <c r="H2" s="3"/>
      <c r="I2" s="3"/>
      <c r="L2" s="4"/>
    </row>
    <row r="3" spans="1:13">
      <c r="B3" s="1244" t="s">
        <v>1673</v>
      </c>
      <c r="C3" s="1244"/>
      <c r="D3" s="1244"/>
      <c r="E3" s="1244"/>
      <c r="F3" s="1244"/>
      <c r="G3" s="3"/>
      <c r="H3" s="3"/>
      <c r="I3" s="3"/>
      <c r="L3" s="4"/>
    </row>
    <row r="4" spans="1:13">
      <c r="B4" s="1244" t="s">
        <v>967</v>
      </c>
      <c r="C4" s="1244"/>
      <c r="D4" s="1244"/>
      <c r="E4" s="1244"/>
      <c r="F4" s="1244"/>
      <c r="G4" s="3"/>
      <c r="H4" s="3"/>
      <c r="I4" s="3"/>
      <c r="L4" s="4"/>
    </row>
    <row r="5" spans="1:13">
      <c r="B5" s="1244" t="s">
        <v>971</v>
      </c>
      <c r="C5" s="1244"/>
      <c r="D5" s="1244"/>
      <c r="E5" s="1244"/>
      <c r="F5" s="1244"/>
      <c r="G5" s="3"/>
      <c r="H5" s="3"/>
      <c r="I5" s="3"/>
      <c r="L5" s="4"/>
    </row>
    <row r="7" spans="1:13" s="6" customFormat="1">
      <c r="B7" s="6" t="s">
        <v>1689</v>
      </c>
      <c r="C7" s="6" t="s">
        <v>1687</v>
      </c>
      <c r="D7" s="6" t="s">
        <v>1688</v>
      </c>
      <c r="E7" s="6" t="s">
        <v>1691</v>
      </c>
      <c r="F7" s="6" t="s">
        <v>1692</v>
      </c>
      <c r="H7" s="6" t="s">
        <v>1691</v>
      </c>
      <c r="I7" s="6" t="s">
        <v>1692</v>
      </c>
    </row>
    <row r="8" spans="1:13">
      <c r="A8" s="13" t="s">
        <v>1712</v>
      </c>
    </row>
    <row r="9" spans="1:13">
      <c r="A9" s="6">
        <v>1</v>
      </c>
      <c r="B9" s="4" t="s">
        <v>1623</v>
      </c>
      <c r="E9" s="471">
        <f>+'MPP-6 - Plant Additions'!AA208</f>
        <v>4795618.9400000004</v>
      </c>
      <c r="H9" s="4">
        <v>18072319.657660004</v>
      </c>
      <c r="L9" s="471"/>
    </row>
    <row r="10" spans="1:13">
      <c r="E10" s="4"/>
      <c r="L10" s="4"/>
    </row>
    <row r="11" spans="1:13">
      <c r="A11" s="6">
        <v>2</v>
      </c>
      <c r="B11" s="37" t="s">
        <v>2103</v>
      </c>
      <c r="C11" s="716">
        <f>E30</f>
        <v>1.1681678480842181E-2</v>
      </c>
      <c r="E11" s="4"/>
      <c r="L11" s="4"/>
    </row>
    <row r="12" spans="1:13">
      <c r="A12" s="6">
        <v>3</v>
      </c>
      <c r="B12" s="4" t="s">
        <v>958</v>
      </c>
      <c r="E12" s="465">
        <f>+E9*C11</f>
        <v>56020.878573717193</v>
      </c>
      <c r="H12" s="4">
        <v>211115.02764378799</v>
      </c>
      <c r="L12" s="465"/>
    </row>
    <row r="13" spans="1:13">
      <c r="E13" s="4"/>
      <c r="L13" s="4"/>
    </row>
    <row r="14" spans="1:13">
      <c r="A14" s="6">
        <v>4</v>
      </c>
      <c r="B14" s="4" t="s">
        <v>2104</v>
      </c>
      <c r="E14" s="41">
        <v>0</v>
      </c>
      <c r="H14" s="4">
        <v>199943.9</v>
      </c>
      <c r="L14" s="41"/>
    </row>
    <row r="15" spans="1:13">
      <c r="E15" s="4"/>
      <c r="L15" s="4"/>
    </row>
    <row r="16" spans="1:13">
      <c r="A16" s="6">
        <v>5</v>
      </c>
      <c r="B16" s="4" t="s">
        <v>875</v>
      </c>
      <c r="D16" s="20" t="s">
        <v>1711</v>
      </c>
      <c r="E16" s="192">
        <f>+E9</f>
        <v>4795618.9400000004</v>
      </c>
      <c r="F16" s="192"/>
      <c r="H16" s="4">
        <v>18072319.657660004</v>
      </c>
      <c r="L16" s="192">
        <f>+E16-H16</f>
        <v>-13276700.717660002</v>
      </c>
      <c r="M16" s="192"/>
    </row>
    <row r="17" spans="1:13">
      <c r="D17" s="20"/>
      <c r="E17" s="192"/>
      <c r="F17" s="192"/>
      <c r="L17" s="192"/>
      <c r="M17" s="192"/>
    </row>
    <row r="18" spans="1:13">
      <c r="A18" s="6">
        <v>6</v>
      </c>
      <c r="B18" s="4" t="s">
        <v>284</v>
      </c>
      <c r="D18" s="20" t="s">
        <v>1357</v>
      </c>
      <c r="E18" s="192">
        <f>+'MPP-6 - Plant Additions'!AA210</f>
        <v>59945.236750000011</v>
      </c>
      <c r="F18" s="192">
        <f>+E18</f>
        <v>59945.236750000011</v>
      </c>
      <c r="H18" s="4">
        <v>410853.14640118089</v>
      </c>
      <c r="I18" s="4">
        <v>410853.14640118089</v>
      </c>
      <c r="L18" s="192"/>
      <c r="M18" s="192"/>
    </row>
    <row r="19" spans="1:13">
      <c r="A19" s="6">
        <v>7</v>
      </c>
      <c r="B19" s="4" t="s">
        <v>889</v>
      </c>
      <c r="D19" s="20" t="s">
        <v>1713</v>
      </c>
      <c r="E19" s="192">
        <f>+E18/2</f>
        <v>29972.618375000005</v>
      </c>
      <c r="F19" s="192"/>
      <c r="H19" s="4">
        <v>205426.57320059044</v>
      </c>
      <c r="L19" s="192">
        <f>+H19-E19</f>
        <v>175453.95482559042</v>
      </c>
      <c r="M19" s="192"/>
    </row>
    <row r="20" spans="1:13">
      <c r="A20" s="6">
        <v>8</v>
      </c>
      <c r="B20" s="4" t="s">
        <v>890</v>
      </c>
      <c r="D20" s="20" t="s">
        <v>1714</v>
      </c>
      <c r="E20" s="192">
        <f>+E16*0.0375</f>
        <v>179835.71025</v>
      </c>
      <c r="F20" s="192"/>
      <c r="H20" s="4">
        <v>677711.98716225009</v>
      </c>
      <c r="L20" s="192"/>
      <c r="M20" s="192"/>
    </row>
    <row r="21" spans="1:13">
      <c r="A21" s="6">
        <v>9</v>
      </c>
      <c r="B21" s="4" t="s">
        <v>95</v>
      </c>
      <c r="D21" s="20" t="s">
        <v>1715</v>
      </c>
      <c r="E21" s="192">
        <f>(+E20-E18)*0.35</f>
        <v>41961.665724999992</v>
      </c>
      <c r="F21" s="192"/>
      <c r="H21" s="4">
        <v>93400.594266374217</v>
      </c>
      <c r="L21" s="192">
        <f>+H21-E21</f>
        <v>51438.928541374225</v>
      </c>
      <c r="M21" s="192"/>
    </row>
    <row r="22" spans="1:13">
      <c r="A22" s="6">
        <v>10</v>
      </c>
      <c r="B22" s="4" t="s">
        <v>891</v>
      </c>
      <c r="D22" s="20" t="s">
        <v>1716</v>
      </c>
      <c r="E22" s="192">
        <f>+E21/2</f>
        <v>20980.832862499996</v>
      </c>
      <c r="F22" s="192"/>
      <c r="H22" s="4">
        <v>46700.297133187109</v>
      </c>
      <c r="L22" s="192"/>
      <c r="M22" s="192"/>
    </row>
    <row r="23" spans="1:13">
      <c r="A23" s="6">
        <v>11</v>
      </c>
      <c r="B23" s="4" t="s">
        <v>892</v>
      </c>
      <c r="D23" s="20" t="s">
        <v>1717</v>
      </c>
      <c r="E23" s="192"/>
      <c r="F23" s="192">
        <f>+F18*0.35</f>
        <v>20980.832862500003</v>
      </c>
      <c r="I23" s="4">
        <v>143798.60124041329</v>
      </c>
      <c r="L23" s="192"/>
      <c r="M23" s="192"/>
    </row>
    <row r="24" spans="1:13">
      <c r="E24" s="192"/>
      <c r="F24" s="192"/>
      <c r="L24" s="192"/>
      <c r="M24" s="192"/>
    </row>
    <row r="25" spans="1:13">
      <c r="A25" s="6">
        <v>12</v>
      </c>
      <c r="B25" s="4" t="s">
        <v>893</v>
      </c>
      <c r="E25" s="192">
        <f>+E16-E22-E19</f>
        <v>4744665.4887625007</v>
      </c>
      <c r="F25" s="192"/>
      <c r="H25" s="4">
        <v>17820192.787326224</v>
      </c>
      <c r="L25" s="192"/>
      <c r="M25" s="192"/>
    </row>
    <row r="26" spans="1:13">
      <c r="F26" s="278"/>
      <c r="G26" s="192"/>
      <c r="M26" s="278"/>
    </row>
    <row r="27" spans="1:13">
      <c r="A27" s="6" t="s">
        <v>1577</v>
      </c>
      <c r="F27" s="192"/>
      <c r="G27" s="192"/>
      <c r="M27" s="192"/>
    </row>
    <row r="28" spans="1:13">
      <c r="A28" s="809" t="s">
        <v>2099</v>
      </c>
      <c r="B28" s="339" t="s">
        <v>2100</v>
      </c>
      <c r="C28" s="339"/>
      <c r="D28" s="339"/>
      <c r="E28" s="810">
        <v>222755000</v>
      </c>
      <c r="F28" s="192"/>
      <c r="G28" s="192"/>
      <c r="H28" s="4">
        <v>222755000</v>
      </c>
      <c r="L28" s="810"/>
      <c r="M28" s="192"/>
    </row>
    <row r="29" spans="1:13">
      <c r="A29" s="362"/>
      <c r="B29" s="17" t="s">
        <v>2101</v>
      </c>
      <c r="C29" s="17"/>
      <c r="D29" s="17"/>
      <c r="E29" s="811">
        <v>2602152.29</v>
      </c>
      <c r="F29" s="192"/>
      <c r="G29" s="192"/>
      <c r="H29" s="4">
        <v>2602152.29</v>
      </c>
      <c r="L29" s="811"/>
      <c r="M29" s="192"/>
    </row>
    <row r="30" spans="1:13">
      <c r="A30" s="363"/>
      <c r="B30" s="346" t="s">
        <v>2102</v>
      </c>
      <c r="C30" s="346"/>
      <c r="D30" s="346"/>
      <c r="E30" s="812">
        <f>E29/E28</f>
        <v>1.1681678480842181E-2</v>
      </c>
      <c r="F30" s="192"/>
      <c r="G30" s="192"/>
      <c r="H30" s="4">
        <v>1.1681678480842181E-2</v>
      </c>
      <c r="L30" s="812"/>
      <c r="M30" s="192"/>
    </row>
    <row r="31" spans="1:13">
      <c r="A31" s="809" t="s">
        <v>2097</v>
      </c>
      <c r="B31" s="339" t="s">
        <v>2086</v>
      </c>
      <c r="C31" s="339"/>
      <c r="D31" s="339"/>
      <c r="E31" s="813">
        <v>6500000</v>
      </c>
      <c r="F31" s="192"/>
      <c r="G31" s="192"/>
      <c r="H31" s="4">
        <v>6500000</v>
      </c>
      <c r="L31" s="813"/>
      <c r="M31" s="192"/>
    </row>
    <row r="32" spans="1:13">
      <c r="A32" s="362"/>
      <c r="B32" s="17" t="s">
        <v>2088</v>
      </c>
      <c r="C32" s="17"/>
      <c r="D32" s="17"/>
      <c r="E32" s="814">
        <v>3.0760599999999999E-2</v>
      </c>
      <c r="F32" s="192"/>
      <c r="G32" s="192"/>
      <c r="H32" s="4">
        <v>3.0760599999999999E-2</v>
      </c>
      <c r="L32" s="814"/>
      <c r="M32" s="192"/>
    </row>
    <row r="33" spans="1:13">
      <c r="A33" s="363"/>
      <c r="B33" s="346" t="s">
        <v>2087</v>
      </c>
      <c r="C33" s="346"/>
      <c r="D33" s="346"/>
      <c r="E33" s="815">
        <f>+E31*E32</f>
        <v>199943.9</v>
      </c>
      <c r="F33" s="192"/>
      <c r="G33" s="192"/>
      <c r="H33" s="4">
        <v>199943.9</v>
      </c>
      <c r="L33" s="815"/>
      <c r="M33" s="192"/>
    </row>
    <row r="34" spans="1:13">
      <c r="E34" s="4"/>
      <c r="F34" s="192"/>
      <c r="G34" s="192"/>
      <c r="L34" s="4"/>
      <c r="M34" s="192"/>
    </row>
    <row r="35" spans="1:13">
      <c r="F35" s="192"/>
      <c r="G35" s="192"/>
      <c r="M35" s="192"/>
    </row>
    <row r="36" spans="1:13">
      <c r="F36" s="192"/>
      <c r="G36" s="192"/>
      <c r="M36" s="192"/>
    </row>
    <row r="37" spans="1:13">
      <c r="F37" s="192"/>
      <c r="G37" s="192"/>
      <c r="M37" s="192"/>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Name:&amp;A&amp;R&amp;"Times New Roman,Regular"&amp;9 26678.897\4829-5163-7600.v1</oddFooter>
  </headerFooter>
  <colBreaks count="1" manualBreakCount="1">
    <brk id="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187"/>
  <sheetViews>
    <sheetView view="pageBreakPreview" zoomScale="70" zoomScaleNormal="100" zoomScaleSheetLayoutView="70" workbookViewId="0"/>
  </sheetViews>
  <sheetFormatPr defaultColWidth="9.140625" defaultRowHeight="15.75"/>
  <cols>
    <col min="1" max="1" width="9.28515625" style="24" bestFit="1" customWidth="1"/>
    <col min="2" max="2" width="9.28515625" style="4" bestFit="1" customWidth="1"/>
    <col min="3" max="3" width="44.28515625" style="4" customWidth="1"/>
    <col min="4" max="4" width="2.7109375" style="4" customWidth="1"/>
    <col min="5" max="5" width="17.140625" style="4" bestFit="1" customWidth="1"/>
    <col min="6" max="6" width="16.42578125" style="4" bestFit="1" customWidth="1"/>
    <col min="7" max="7" width="16.85546875" style="4" bestFit="1" customWidth="1"/>
    <col min="8" max="8" width="14.140625" style="4" customWidth="1"/>
    <col min="9" max="9" width="15.7109375" style="35" bestFit="1" customWidth="1"/>
    <col min="10" max="10" width="12.28515625" style="35" bestFit="1" customWidth="1"/>
    <col min="11" max="11" width="14.5703125" style="152" bestFit="1" customWidth="1"/>
    <col min="12" max="13" width="13.85546875" style="35" bestFit="1" customWidth="1"/>
    <col min="14" max="15" width="13.5703125" style="35" bestFit="1" customWidth="1"/>
    <col min="16" max="16" width="13.85546875" style="35" bestFit="1" customWidth="1"/>
    <col min="17" max="17" width="13.7109375" style="35" customWidth="1"/>
    <col min="18" max="18" width="15.42578125" style="151" bestFit="1" customWidth="1"/>
    <col min="19" max="19" width="13.5703125" style="35" bestFit="1" customWidth="1"/>
    <col min="20" max="20" width="13" style="35" customWidth="1"/>
    <col min="21" max="21" width="14.5703125" style="35" bestFit="1" customWidth="1"/>
    <col min="22" max="23" width="2.140625" style="4" customWidth="1"/>
    <col min="24" max="24" width="15.7109375" style="4" bestFit="1" customWidth="1"/>
    <col min="25" max="25" width="17" style="4" bestFit="1" customWidth="1"/>
    <col min="26" max="26" width="14.28515625" style="4" bestFit="1" customWidth="1"/>
    <col min="27" max="27" width="12.42578125" style="4" bestFit="1" customWidth="1"/>
    <col min="28" max="16384" width="9.140625" style="4"/>
  </cols>
  <sheetData>
    <row r="1" spans="1:25">
      <c r="C1" s="1244" t="s">
        <v>53</v>
      </c>
      <c r="D1" s="1244"/>
      <c r="E1" s="1244"/>
      <c r="F1" s="1244"/>
      <c r="G1" s="1244"/>
      <c r="K1" s="1244" t="s">
        <v>53</v>
      </c>
      <c r="L1" s="1244"/>
      <c r="M1" s="1244"/>
      <c r="N1" s="1244"/>
      <c r="O1" s="1244"/>
      <c r="S1" s="1244" t="s">
        <v>53</v>
      </c>
      <c r="T1" s="1244"/>
      <c r="U1" s="1244"/>
      <c r="V1" s="1244"/>
      <c r="W1" s="1244"/>
    </row>
    <row r="2" spans="1:25">
      <c r="C2" s="1244" t="s">
        <v>1659</v>
      </c>
      <c r="D2" s="1244"/>
      <c r="E2" s="1244"/>
      <c r="F2" s="1244"/>
      <c r="G2" s="1244"/>
      <c r="K2" s="1244" t="s">
        <v>1659</v>
      </c>
      <c r="L2" s="1244"/>
      <c r="M2" s="1244"/>
      <c r="N2" s="1244"/>
      <c r="O2" s="1244"/>
      <c r="S2" s="1244" t="s">
        <v>1659</v>
      </c>
      <c r="T2" s="1244"/>
      <c r="U2" s="1244"/>
      <c r="V2" s="1244"/>
      <c r="W2" s="1244"/>
    </row>
    <row r="3" spans="1:25">
      <c r="C3" s="1244" t="s">
        <v>1661</v>
      </c>
      <c r="D3" s="1244"/>
      <c r="E3" s="1244"/>
      <c r="F3" s="1244"/>
      <c r="G3" s="1244"/>
      <c r="K3" s="1244" t="s">
        <v>1661</v>
      </c>
      <c r="L3" s="1244"/>
      <c r="M3" s="1244"/>
      <c r="N3" s="1244"/>
      <c r="O3" s="1244"/>
      <c r="S3" s="1244" t="s">
        <v>1661</v>
      </c>
      <c r="T3" s="1244"/>
      <c r="U3" s="1244"/>
      <c r="V3" s="1244"/>
      <c r="W3" s="1244"/>
    </row>
    <row r="4" spans="1:25">
      <c r="C4" s="1244" t="s">
        <v>2082</v>
      </c>
      <c r="D4" s="1244"/>
      <c r="E4" s="1244"/>
      <c r="F4" s="1244"/>
      <c r="G4" s="1244"/>
      <c r="K4" s="1244" t="s">
        <v>1353</v>
      </c>
      <c r="L4" s="1244"/>
      <c r="M4" s="1244"/>
      <c r="N4" s="1244"/>
      <c r="O4" s="1244"/>
      <c r="S4" s="1244" t="s">
        <v>1353</v>
      </c>
      <c r="T4" s="1244"/>
      <c r="U4" s="1244"/>
      <c r="V4" s="1244"/>
      <c r="W4" s="1244"/>
    </row>
    <row r="5" spans="1:25">
      <c r="C5" s="1244" t="s">
        <v>971</v>
      </c>
      <c r="D5" s="1244"/>
      <c r="E5" s="1244"/>
      <c r="F5" s="1244"/>
      <c r="G5" s="1244"/>
      <c r="K5" s="1244" t="s">
        <v>971</v>
      </c>
      <c r="L5" s="1244"/>
      <c r="M5" s="1244"/>
      <c r="N5" s="1244"/>
      <c r="O5" s="1244"/>
      <c r="S5" s="1244" t="s">
        <v>971</v>
      </c>
      <c r="T5" s="1244"/>
      <c r="U5" s="1244"/>
      <c r="V5" s="1244"/>
      <c r="W5" s="1244"/>
    </row>
    <row r="7" spans="1:25" s="24" customFormat="1">
      <c r="A7" s="24" t="s">
        <v>1983</v>
      </c>
      <c r="B7" s="24" t="s">
        <v>1689</v>
      </c>
      <c r="C7" s="24" t="s">
        <v>1687</v>
      </c>
      <c r="E7" s="24" t="s">
        <v>1688</v>
      </c>
      <c r="F7" s="24" t="s">
        <v>1691</v>
      </c>
      <c r="G7" s="24" t="s">
        <v>1692</v>
      </c>
      <c r="H7" s="24" t="s">
        <v>1701</v>
      </c>
      <c r="I7" s="153" t="s">
        <v>1702</v>
      </c>
      <c r="J7" s="153" t="s">
        <v>1703</v>
      </c>
      <c r="K7" s="154" t="s">
        <v>1704</v>
      </c>
      <c r="L7" s="153" t="s">
        <v>1705</v>
      </c>
      <c r="M7" s="153" t="s">
        <v>1706</v>
      </c>
      <c r="N7" s="153" t="s">
        <v>1707</v>
      </c>
      <c r="O7" s="153" t="s">
        <v>1708</v>
      </c>
      <c r="P7" s="153" t="s">
        <v>1709</v>
      </c>
      <c r="Q7" s="153" t="s">
        <v>1710</v>
      </c>
      <c r="R7" s="155" t="s">
        <v>1984</v>
      </c>
      <c r="S7" s="153" t="s">
        <v>1985</v>
      </c>
      <c r="T7" s="153" t="s">
        <v>1986</v>
      </c>
      <c r="U7" s="153" t="s">
        <v>1987</v>
      </c>
      <c r="X7" s="153" t="s">
        <v>1988</v>
      </c>
      <c r="Y7" s="153" t="s">
        <v>1989</v>
      </c>
    </row>
    <row r="8" spans="1:25" ht="31.5">
      <c r="A8" s="24">
        <v>1</v>
      </c>
      <c r="B8" s="150" t="s">
        <v>1353</v>
      </c>
      <c r="C8" s="156"/>
      <c r="D8" s="157"/>
      <c r="E8" s="158"/>
      <c r="F8" s="159" t="s">
        <v>109</v>
      </c>
      <c r="G8" s="159" t="s">
        <v>110</v>
      </c>
      <c r="H8" s="159" t="s">
        <v>111</v>
      </c>
    </row>
    <row r="9" spans="1:25">
      <c r="A9" s="24">
        <v>2</v>
      </c>
      <c r="B9" s="45" t="s">
        <v>972</v>
      </c>
      <c r="C9" s="44"/>
      <c r="D9" s="157"/>
      <c r="E9" s="160" t="s">
        <v>112</v>
      </c>
      <c r="F9" s="161">
        <f>+'State Allocation Formulas'!C21</f>
        <v>0.75280000000000002</v>
      </c>
      <c r="G9" s="162">
        <f>+'State Allocation Formulas'!C16</f>
        <v>0.74880000000000002</v>
      </c>
      <c r="H9" s="162">
        <f>+'State Allocation Formulas'!T21</f>
        <v>0.76549999999999996</v>
      </c>
    </row>
    <row r="10" spans="1:25">
      <c r="A10" s="24">
        <v>3</v>
      </c>
      <c r="B10" s="45"/>
      <c r="C10" s="44"/>
      <c r="D10" s="157"/>
      <c r="E10" s="160" t="s">
        <v>113</v>
      </c>
      <c r="F10" s="161">
        <f>+'State Allocation Formulas'!D21</f>
        <v>0.2472</v>
      </c>
      <c r="G10" s="162">
        <f>+'State Allocation Formulas'!D16</f>
        <v>0.25119999999999998</v>
      </c>
      <c r="H10" s="162">
        <f>+'State Allocation Formulas'!T22</f>
        <v>0.23450000000000004</v>
      </c>
      <c r="I10" s="163" t="s">
        <v>877</v>
      </c>
      <c r="J10" s="163" t="s">
        <v>54</v>
      </c>
      <c r="K10" s="164" t="s">
        <v>960</v>
      </c>
      <c r="L10" s="163" t="s">
        <v>1109</v>
      </c>
      <c r="M10" s="163" t="s">
        <v>56</v>
      </c>
      <c r="N10" s="163" t="s">
        <v>917</v>
      </c>
      <c r="O10" s="165" t="s">
        <v>961</v>
      </c>
      <c r="P10" s="165" t="s">
        <v>59</v>
      </c>
      <c r="Q10" s="50" t="s">
        <v>917</v>
      </c>
      <c r="R10" s="166" t="s">
        <v>1008</v>
      </c>
      <c r="S10" s="165" t="s">
        <v>1129</v>
      </c>
      <c r="T10" s="50" t="s">
        <v>1133</v>
      </c>
      <c r="U10" s="165" t="s">
        <v>917</v>
      </c>
      <c r="V10" s="50"/>
      <c r="X10" s="167" t="s">
        <v>52</v>
      </c>
      <c r="Y10" s="167" t="s">
        <v>917</v>
      </c>
    </row>
    <row r="11" spans="1:25">
      <c r="A11" s="168">
        <v>4</v>
      </c>
      <c r="B11" s="1249" t="s">
        <v>114</v>
      </c>
      <c r="C11" s="1250"/>
      <c r="D11" s="157"/>
      <c r="E11" s="1253" t="s">
        <v>115</v>
      </c>
      <c r="F11" s="1254"/>
      <c r="G11" s="1254"/>
      <c r="I11" s="169" t="s">
        <v>878</v>
      </c>
      <c r="J11" s="169" t="s">
        <v>51</v>
      </c>
      <c r="K11" s="170" t="s">
        <v>72</v>
      </c>
      <c r="L11" s="169" t="s">
        <v>1110</v>
      </c>
      <c r="M11" s="169" t="s">
        <v>57</v>
      </c>
      <c r="N11" s="169" t="s">
        <v>921</v>
      </c>
      <c r="O11" s="171" t="s">
        <v>58</v>
      </c>
      <c r="P11" s="171" t="s">
        <v>60</v>
      </c>
      <c r="Q11" s="54" t="s">
        <v>1131</v>
      </c>
      <c r="R11" s="172" t="s">
        <v>1009</v>
      </c>
      <c r="S11" s="171" t="s">
        <v>1105</v>
      </c>
      <c r="T11" s="54" t="s">
        <v>55</v>
      </c>
      <c r="U11" s="171" t="s">
        <v>956</v>
      </c>
      <c r="V11" s="54"/>
      <c r="X11" s="167" t="s">
        <v>1</v>
      </c>
      <c r="Y11" s="167" t="s">
        <v>918</v>
      </c>
    </row>
    <row r="12" spans="1:25">
      <c r="A12" s="24">
        <v>5</v>
      </c>
      <c r="B12" s="1251"/>
      <c r="C12" s="1252"/>
      <c r="D12" s="173"/>
      <c r="E12" s="1255" t="s">
        <v>116</v>
      </c>
      <c r="F12" s="1256"/>
      <c r="G12" s="1257"/>
      <c r="I12" s="169" t="s">
        <v>55</v>
      </c>
      <c r="J12" s="169" t="s">
        <v>55</v>
      </c>
      <c r="K12" s="170"/>
      <c r="L12" s="169" t="s">
        <v>1111</v>
      </c>
      <c r="M12" s="169" t="s">
        <v>55</v>
      </c>
      <c r="N12" s="169" t="s">
        <v>55</v>
      </c>
      <c r="O12" s="171"/>
      <c r="P12" s="171"/>
      <c r="Q12" s="54" t="s">
        <v>1132</v>
      </c>
      <c r="R12" s="172" t="s">
        <v>1010</v>
      </c>
      <c r="S12" s="171" t="s">
        <v>1106</v>
      </c>
      <c r="T12" s="54"/>
      <c r="U12" s="171"/>
      <c r="V12" s="54"/>
      <c r="Y12" s="6" t="s">
        <v>919</v>
      </c>
    </row>
    <row r="13" spans="1:25">
      <c r="A13" s="24">
        <v>6</v>
      </c>
      <c r="B13" s="1245" t="s">
        <v>117</v>
      </c>
      <c r="C13" s="1246"/>
      <c r="D13" s="174"/>
      <c r="E13" s="175" t="s">
        <v>118</v>
      </c>
      <c r="F13" s="176" t="s">
        <v>119</v>
      </c>
      <c r="G13" s="177" t="s">
        <v>120</v>
      </c>
      <c r="I13" s="178" t="s">
        <v>909</v>
      </c>
      <c r="J13" s="178" t="s">
        <v>910</v>
      </c>
      <c r="K13" s="179" t="s">
        <v>959</v>
      </c>
      <c r="L13" s="178" t="s">
        <v>1130</v>
      </c>
      <c r="M13" s="178" t="s">
        <v>911</v>
      </c>
      <c r="N13" s="178" t="s">
        <v>912</v>
      </c>
      <c r="O13" s="178" t="s">
        <v>1134</v>
      </c>
      <c r="P13" s="178" t="s">
        <v>913</v>
      </c>
      <c r="Q13" s="178" t="s">
        <v>914</v>
      </c>
      <c r="R13" s="180" t="s">
        <v>915</v>
      </c>
      <c r="S13" s="178" t="s">
        <v>916</v>
      </c>
      <c r="T13" s="178" t="s">
        <v>1135</v>
      </c>
      <c r="U13" s="178" t="s">
        <v>1136</v>
      </c>
      <c r="V13" s="181"/>
      <c r="W13" s="181"/>
    </row>
    <row r="14" spans="1:25">
      <c r="A14" s="168">
        <v>7</v>
      </c>
      <c r="B14" s="182" t="s">
        <v>121</v>
      </c>
      <c r="C14" s="183"/>
      <c r="D14" s="184"/>
      <c r="E14" s="45"/>
      <c r="F14" s="44"/>
      <c r="G14" s="185"/>
    </row>
    <row r="15" spans="1:25">
      <c r="A15" s="24">
        <v>8</v>
      </c>
      <c r="B15" s="186" t="s">
        <v>122</v>
      </c>
      <c r="C15" s="187" t="s">
        <v>123</v>
      </c>
      <c r="D15" s="188"/>
      <c r="E15" s="189">
        <v>100892687.81</v>
      </c>
      <c r="F15" s="190">
        <v>0</v>
      </c>
      <c r="G15" s="191">
        <f>SUM(E15:F15)</f>
        <v>100892687.81</v>
      </c>
      <c r="I15" s="35">
        <f>+'Weather Normalization'!F12+'Weather Normalization'!F18+'Weather Normalization'!F19</f>
        <v>11337843.88446</v>
      </c>
      <c r="K15" s="718">
        <f>+'Restate Revenues'!M28</f>
        <v>-8383168.3755000383</v>
      </c>
      <c r="U15" s="35">
        <f>'Revenue Adjustment'!G21</f>
        <v>2520322</v>
      </c>
      <c r="X15" s="192">
        <f>SUM(I15:W15)</f>
        <v>5474997.5089599621</v>
      </c>
      <c r="Y15" s="192">
        <f>+G15+X15</f>
        <v>106367685.31895997</v>
      </c>
    </row>
    <row r="16" spans="1:25">
      <c r="A16" s="24">
        <v>9</v>
      </c>
      <c r="B16" s="186" t="s">
        <v>124</v>
      </c>
      <c r="C16" s="187" t="s">
        <v>125</v>
      </c>
      <c r="D16" s="188"/>
      <c r="E16" s="189">
        <v>82010145.060000002</v>
      </c>
      <c r="F16" s="190">
        <v>0</v>
      </c>
      <c r="G16" s="191">
        <f>SUM(E16:F16)</f>
        <v>82010145.060000002</v>
      </c>
      <c r="I16" s="35">
        <f>+'Weather Normalization'!F15</f>
        <v>4134187.9</v>
      </c>
      <c r="K16" s="718">
        <f>+'Restate Revenues'!M29</f>
        <v>-346008.79999999795</v>
      </c>
      <c r="U16" s="715">
        <f>'Revenue Adjustment'!G22</f>
        <v>766252</v>
      </c>
      <c r="X16" s="192">
        <f>SUM(I16:W16)</f>
        <v>4554431.1000000015</v>
      </c>
      <c r="Y16" s="192">
        <f>+G16+X16</f>
        <v>86564576.159999996</v>
      </c>
    </row>
    <row r="17" spans="1:25">
      <c r="A17" s="168">
        <v>10</v>
      </c>
      <c r="B17" s="182" t="s">
        <v>126</v>
      </c>
      <c r="C17" s="183"/>
      <c r="D17" s="193"/>
      <c r="E17" s="194">
        <f t="shared" ref="E17:T17" si="0">SUM(E15:E16)</f>
        <v>182902832.87</v>
      </c>
      <c r="F17" s="195">
        <f t="shared" si="0"/>
        <v>0</v>
      </c>
      <c r="G17" s="196">
        <f t="shared" si="0"/>
        <v>182902832.87</v>
      </c>
      <c r="I17" s="196">
        <f t="shared" si="0"/>
        <v>15472031.784460001</v>
      </c>
      <c r="J17" s="196">
        <f t="shared" si="0"/>
        <v>0</v>
      </c>
      <c r="K17" s="719">
        <f>SUM(K15:K16)</f>
        <v>-8729177.1755000353</v>
      </c>
      <c r="L17" s="196">
        <f t="shared" si="0"/>
        <v>0</v>
      </c>
      <c r="M17" s="196">
        <f t="shared" si="0"/>
        <v>0</v>
      </c>
      <c r="N17" s="196">
        <f t="shared" si="0"/>
        <v>0</v>
      </c>
      <c r="O17" s="196">
        <f t="shared" si="0"/>
        <v>0</v>
      </c>
      <c r="P17" s="196">
        <f t="shared" si="0"/>
        <v>0</v>
      </c>
      <c r="Q17" s="196">
        <f t="shared" ref="Q17" si="1">SUM(Q15:Q16)</f>
        <v>0</v>
      </c>
      <c r="R17" s="198">
        <f t="shared" si="0"/>
        <v>0</v>
      </c>
      <c r="S17" s="196">
        <f t="shared" si="0"/>
        <v>0</v>
      </c>
      <c r="T17" s="196">
        <f t="shared" si="0"/>
        <v>0</v>
      </c>
      <c r="U17" s="196">
        <f>SUM(U15:U16)</f>
        <v>3286574</v>
      </c>
      <c r="V17" s="196">
        <f>SUM(V15:V16)</f>
        <v>0</v>
      </c>
      <c r="W17" s="196">
        <f>SUM(W15:W16)</f>
        <v>0</v>
      </c>
      <c r="X17" s="196">
        <f>SUM(X15:X16)</f>
        <v>10029428.608959964</v>
      </c>
      <c r="Y17" s="196">
        <f>SUM(Y15:Y16)</f>
        <v>192932261.47895998</v>
      </c>
    </row>
    <row r="18" spans="1:25">
      <c r="A18" s="24">
        <v>11</v>
      </c>
      <c r="B18" s="199"/>
      <c r="C18" s="183"/>
      <c r="D18" s="188"/>
      <c r="E18" s="189"/>
      <c r="F18" s="200"/>
      <c r="G18" s="191"/>
      <c r="K18" s="718"/>
    </row>
    <row r="19" spans="1:25">
      <c r="A19" s="168">
        <v>12</v>
      </c>
      <c r="B19" s="182" t="s">
        <v>127</v>
      </c>
      <c r="C19" s="183"/>
      <c r="D19" s="188"/>
      <c r="E19" s="189"/>
      <c r="F19" s="200"/>
      <c r="G19" s="191"/>
    </row>
    <row r="20" spans="1:25">
      <c r="A20" s="24">
        <v>13</v>
      </c>
      <c r="B20" s="186" t="s">
        <v>128</v>
      </c>
      <c r="C20" s="187" t="s">
        <v>129</v>
      </c>
      <c r="D20" s="188"/>
      <c r="E20" s="189">
        <v>810183.02</v>
      </c>
      <c r="F20" s="200">
        <v>0.01</v>
      </c>
      <c r="G20" s="191">
        <f t="shared" ref="G20:G25" si="2">SUM(E20:F20)</f>
        <v>810183.03</v>
      </c>
      <c r="X20" s="192">
        <f t="shared" ref="X20:X25" si="3">SUM(I20:W20)</f>
        <v>0</v>
      </c>
      <c r="Y20" s="192">
        <f t="shared" ref="Y20:Y25" si="4">+G20+X20</f>
        <v>810183.03</v>
      </c>
    </row>
    <row r="21" spans="1:25">
      <c r="A21" s="168">
        <v>14</v>
      </c>
      <c r="B21" s="201" t="s">
        <v>130</v>
      </c>
      <c r="C21" s="187" t="s">
        <v>131</v>
      </c>
      <c r="D21" s="188"/>
      <c r="E21" s="202">
        <v>21216454.399999999</v>
      </c>
      <c r="F21" s="190">
        <v>0</v>
      </c>
      <c r="G21" s="203">
        <f t="shared" si="2"/>
        <v>21216454.399999999</v>
      </c>
      <c r="O21" s="35">
        <f>+'Pro Forma Plant Additions'!E14</f>
        <v>0</v>
      </c>
      <c r="U21" s="715">
        <f>+'Revenue Adjustment'!G23</f>
        <v>1933517</v>
      </c>
      <c r="X21" s="192">
        <f t="shared" si="3"/>
        <v>1933517</v>
      </c>
      <c r="Y21" s="192">
        <f t="shared" si="4"/>
        <v>23149971.399999999</v>
      </c>
    </row>
    <row r="22" spans="1:25">
      <c r="A22" s="24">
        <v>15</v>
      </c>
      <c r="B22" s="201" t="s">
        <v>132</v>
      </c>
      <c r="C22" s="187" t="s">
        <v>133</v>
      </c>
      <c r="D22" s="188"/>
      <c r="E22" s="204">
        <v>100</v>
      </c>
      <c r="F22" s="200">
        <v>0</v>
      </c>
      <c r="G22" s="191">
        <f t="shared" si="2"/>
        <v>100</v>
      </c>
      <c r="X22" s="192">
        <f t="shared" si="3"/>
        <v>0</v>
      </c>
      <c r="Y22" s="192">
        <f t="shared" si="4"/>
        <v>100</v>
      </c>
    </row>
    <row r="23" spans="1:25">
      <c r="A23" s="168">
        <v>16</v>
      </c>
      <c r="B23" s="201" t="s">
        <v>134</v>
      </c>
      <c r="C23" s="187" t="s">
        <v>135</v>
      </c>
      <c r="D23" s="188"/>
      <c r="E23" s="204">
        <v>0</v>
      </c>
      <c r="F23" s="200">
        <v>91471.08</v>
      </c>
      <c r="G23" s="191">
        <f t="shared" si="2"/>
        <v>91471.08</v>
      </c>
      <c r="X23" s="192">
        <f t="shared" si="3"/>
        <v>0</v>
      </c>
      <c r="Y23" s="192">
        <f t="shared" si="4"/>
        <v>91471.08</v>
      </c>
    </row>
    <row r="24" spans="1:25">
      <c r="A24" s="24">
        <v>17</v>
      </c>
      <c r="B24" s="201" t="s">
        <v>136</v>
      </c>
      <c r="C24" s="187" t="s">
        <v>137</v>
      </c>
      <c r="D24" s="188"/>
      <c r="E24" s="189">
        <v>109620.85</v>
      </c>
      <c r="F24" s="200">
        <v>0</v>
      </c>
      <c r="G24" s="191">
        <f t="shared" si="2"/>
        <v>109620.85</v>
      </c>
      <c r="S24" s="35">
        <f>'Miscellaneous Charges'!M16</f>
        <v>-101645</v>
      </c>
      <c r="X24" s="192">
        <f t="shared" si="3"/>
        <v>-101645</v>
      </c>
      <c r="Y24" s="192">
        <f t="shared" si="4"/>
        <v>7975.8500000000058</v>
      </c>
    </row>
    <row r="25" spans="1:25">
      <c r="A25" s="168">
        <v>18</v>
      </c>
      <c r="B25" s="186" t="s">
        <v>138</v>
      </c>
      <c r="C25" s="187" t="s">
        <v>139</v>
      </c>
      <c r="D25" s="205"/>
      <c r="E25" s="204">
        <v>0</v>
      </c>
      <c r="F25" s="190">
        <v>0</v>
      </c>
      <c r="G25" s="206">
        <f t="shared" si="2"/>
        <v>0</v>
      </c>
      <c r="X25" s="192">
        <f t="shared" si="3"/>
        <v>0</v>
      </c>
      <c r="Y25" s="192">
        <f t="shared" si="4"/>
        <v>0</v>
      </c>
    </row>
    <row r="26" spans="1:25">
      <c r="A26" s="24">
        <v>19</v>
      </c>
      <c r="B26" s="182" t="s">
        <v>140</v>
      </c>
      <c r="C26" s="183"/>
      <c r="D26" s="193"/>
      <c r="E26" s="194">
        <f t="shared" ref="E26:G26" si="5">SUM(E20:E25)</f>
        <v>22136358.27</v>
      </c>
      <c r="F26" s="207">
        <f t="shared" si="5"/>
        <v>91471.09</v>
      </c>
      <c r="G26" s="196">
        <f t="shared" si="5"/>
        <v>22227829.359999999</v>
      </c>
      <c r="I26" s="196">
        <f t="shared" ref="I26:S26" si="6">SUM(I20:I25)</f>
        <v>0</v>
      </c>
      <c r="J26" s="196">
        <f t="shared" si="6"/>
        <v>0</v>
      </c>
      <c r="K26" s="197">
        <f>SUM(K20:K25)</f>
        <v>0</v>
      </c>
      <c r="L26" s="196">
        <f>SUM(L20:L25)</f>
        <v>0</v>
      </c>
      <c r="M26" s="196">
        <f t="shared" si="6"/>
        <v>0</v>
      </c>
      <c r="N26" s="196">
        <f t="shared" si="6"/>
        <v>0</v>
      </c>
      <c r="O26" s="196">
        <f t="shared" si="6"/>
        <v>0</v>
      </c>
      <c r="P26" s="196">
        <f t="shared" si="6"/>
        <v>0</v>
      </c>
      <c r="Q26" s="196">
        <f t="shared" ref="Q26" si="7">SUM(Q20:Q25)</f>
        <v>0</v>
      </c>
      <c r="R26" s="198">
        <f>SUM(R20:R25)</f>
        <v>0</v>
      </c>
      <c r="S26" s="196">
        <f t="shared" si="6"/>
        <v>-101645</v>
      </c>
      <c r="T26" s="196">
        <f t="shared" ref="T26" si="8">SUM(T20:T25)</f>
        <v>0</v>
      </c>
      <c r="U26" s="196">
        <f>SUM(U20:U25)</f>
        <v>1933517</v>
      </c>
      <c r="V26" s="196">
        <f>SUM(V20:V25)</f>
        <v>0</v>
      </c>
      <c r="W26" s="196">
        <f>SUM(W20:W25)</f>
        <v>0</v>
      </c>
      <c r="X26" s="196">
        <f>SUM(X20:X25)</f>
        <v>1831872</v>
      </c>
      <c r="Y26" s="196">
        <f>SUM(Y20:Y25)</f>
        <v>24059701.359999999</v>
      </c>
    </row>
    <row r="27" spans="1:25" ht="16.5" thickBot="1">
      <c r="A27" s="168">
        <v>20</v>
      </c>
      <c r="B27" s="182" t="s">
        <v>141</v>
      </c>
      <c r="C27" s="183"/>
      <c r="D27" s="208"/>
      <c r="E27" s="209">
        <f t="shared" ref="E27:G27" si="9">E17+E26</f>
        <v>205039191.14000002</v>
      </c>
      <c r="F27" s="210">
        <f t="shared" si="9"/>
        <v>91471.09</v>
      </c>
      <c r="G27" s="211">
        <f t="shared" si="9"/>
        <v>205130662.23000002</v>
      </c>
      <c r="I27" s="211">
        <f t="shared" ref="I27:S27" si="10">I17+I26</f>
        <v>15472031.784460001</v>
      </c>
      <c r="J27" s="211">
        <f t="shared" si="10"/>
        <v>0</v>
      </c>
      <c r="K27" s="212">
        <f>K17+K26</f>
        <v>-8729177.1755000353</v>
      </c>
      <c r="L27" s="211">
        <f>L17+L26</f>
        <v>0</v>
      </c>
      <c r="M27" s="211">
        <f t="shared" si="10"/>
        <v>0</v>
      </c>
      <c r="N27" s="211">
        <f t="shared" si="10"/>
        <v>0</v>
      </c>
      <c r="O27" s="211">
        <f t="shared" si="10"/>
        <v>0</v>
      </c>
      <c r="P27" s="211">
        <f t="shared" si="10"/>
        <v>0</v>
      </c>
      <c r="Q27" s="211">
        <f t="shared" ref="Q27" si="11">Q17+Q26</f>
        <v>0</v>
      </c>
      <c r="R27" s="213">
        <f>R17+R26</f>
        <v>0</v>
      </c>
      <c r="S27" s="211">
        <f t="shared" si="10"/>
        <v>-101645</v>
      </c>
      <c r="T27" s="211">
        <f t="shared" ref="T27" si="12">T17+T26</f>
        <v>0</v>
      </c>
      <c r="U27" s="211">
        <f>U17+U26</f>
        <v>5220091</v>
      </c>
      <c r="V27" s="211">
        <f>V17+V26</f>
        <v>0</v>
      </c>
      <c r="W27" s="211">
        <f>W17+W26</f>
        <v>0</v>
      </c>
      <c r="X27" s="211">
        <f>X17+X26</f>
        <v>11861300.608959964</v>
      </c>
      <c r="Y27" s="211">
        <f>Y17+Y26</f>
        <v>216991962.83895999</v>
      </c>
    </row>
    <row r="28" spans="1:25" ht="16.5" thickTop="1">
      <c r="A28" s="24">
        <v>21</v>
      </c>
      <c r="B28" s="214" t="s">
        <v>50</v>
      </c>
      <c r="C28" s="183" t="s">
        <v>50</v>
      </c>
      <c r="D28" s="188"/>
      <c r="E28" s="189"/>
      <c r="F28" s="200"/>
      <c r="G28" s="191"/>
    </row>
    <row r="29" spans="1:25">
      <c r="A29" s="168">
        <v>22</v>
      </c>
      <c r="B29" s="182" t="s">
        <v>142</v>
      </c>
      <c r="C29" s="183"/>
      <c r="D29" s="188"/>
      <c r="E29" s="189"/>
      <c r="F29" s="200"/>
      <c r="G29" s="191"/>
    </row>
    <row r="30" spans="1:25">
      <c r="A30" s="24">
        <v>23</v>
      </c>
      <c r="B30" s="186" t="s">
        <v>143</v>
      </c>
      <c r="C30" s="187" t="s">
        <v>144</v>
      </c>
      <c r="D30" s="188"/>
      <c r="E30" s="189">
        <v>109308158.06</v>
      </c>
      <c r="F30" s="190">
        <v>0</v>
      </c>
      <c r="G30" s="191">
        <f t="shared" ref="G30:G35" si="13">SUM(E30:F30)</f>
        <v>109308158.06</v>
      </c>
      <c r="I30" s="35">
        <f>+'Weather Normalization'!F37</f>
        <v>10051636.126770001</v>
      </c>
      <c r="K30" s="152">
        <f>'Restate Revenues'!M48</f>
        <v>-6033097.8530900329</v>
      </c>
      <c r="X30" s="192">
        <f t="shared" ref="X30:X35" si="14">SUM(I30:W30)</f>
        <v>4018538.273679968</v>
      </c>
      <c r="Y30" s="192">
        <f t="shared" ref="Y30:Y35" si="15">+G30+X30</f>
        <v>113326696.33367997</v>
      </c>
    </row>
    <row r="31" spans="1:25">
      <c r="A31" s="168">
        <v>24</v>
      </c>
      <c r="B31" s="186" t="s">
        <v>145</v>
      </c>
      <c r="C31" s="187" t="s">
        <v>146</v>
      </c>
      <c r="D31" s="205"/>
      <c r="E31" s="204">
        <v>0</v>
      </c>
      <c r="F31" s="190">
        <v>0</v>
      </c>
      <c r="G31" s="206">
        <f t="shared" si="13"/>
        <v>0</v>
      </c>
      <c r="X31" s="192">
        <f t="shared" si="14"/>
        <v>0</v>
      </c>
      <c r="Y31" s="192">
        <f t="shared" si="15"/>
        <v>0</v>
      </c>
    </row>
    <row r="32" spans="1:25">
      <c r="A32" s="24">
        <v>25</v>
      </c>
      <c r="B32" s="186" t="s">
        <v>147</v>
      </c>
      <c r="C32" s="187" t="s">
        <v>148</v>
      </c>
      <c r="D32" s="188"/>
      <c r="E32" s="189">
        <v>-5591759.0499999998</v>
      </c>
      <c r="F32" s="190">
        <v>0</v>
      </c>
      <c r="G32" s="191">
        <f t="shared" si="13"/>
        <v>-5591759.0499999998</v>
      </c>
      <c r="X32" s="192">
        <f t="shared" si="14"/>
        <v>0</v>
      </c>
      <c r="Y32" s="192">
        <f t="shared" si="15"/>
        <v>-5591759.0499999998</v>
      </c>
    </row>
    <row r="33" spans="1:25">
      <c r="A33" s="168">
        <v>26</v>
      </c>
      <c r="B33" s="186" t="s">
        <v>149</v>
      </c>
      <c r="C33" s="187" t="s">
        <v>150</v>
      </c>
      <c r="D33" s="188"/>
      <c r="E33" s="189">
        <v>4086793.55</v>
      </c>
      <c r="F33" s="190">
        <v>0</v>
      </c>
      <c r="G33" s="191">
        <f t="shared" si="13"/>
        <v>4086793.55</v>
      </c>
      <c r="X33" s="192">
        <f t="shared" si="14"/>
        <v>0</v>
      </c>
      <c r="Y33" s="192">
        <f t="shared" si="15"/>
        <v>4086793.55</v>
      </c>
    </row>
    <row r="34" spans="1:25">
      <c r="A34" s="24">
        <v>27</v>
      </c>
      <c r="B34" s="186" t="s">
        <v>151</v>
      </c>
      <c r="C34" s="187" t="s">
        <v>152</v>
      </c>
      <c r="D34" s="188"/>
      <c r="E34" s="189">
        <v>-4183654.74</v>
      </c>
      <c r="F34" s="190">
        <v>0</v>
      </c>
      <c r="G34" s="191">
        <f t="shared" si="13"/>
        <v>-4183654.74</v>
      </c>
      <c r="X34" s="192">
        <f t="shared" si="14"/>
        <v>0</v>
      </c>
      <c r="Y34" s="192">
        <f t="shared" si="15"/>
        <v>-4183654.74</v>
      </c>
    </row>
    <row r="35" spans="1:25">
      <c r="A35" s="168">
        <v>28</v>
      </c>
      <c r="B35" s="186" t="s">
        <v>153</v>
      </c>
      <c r="C35" s="187" t="s">
        <v>154</v>
      </c>
      <c r="D35" s="188"/>
      <c r="E35" s="189">
        <v>-25673.3</v>
      </c>
      <c r="F35" s="190">
        <v>0</v>
      </c>
      <c r="G35" s="191">
        <f t="shared" si="13"/>
        <v>-25673.3</v>
      </c>
      <c r="X35" s="192">
        <f t="shared" si="14"/>
        <v>0</v>
      </c>
      <c r="Y35" s="192">
        <f t="shared" si="15"/>
        <v>-25673.3</v>
      </c>
    </row>
    <row r="36" spans="1:25">
      <c r="A36" s="24">
        <v>29</v>
      </c>
      <c r="B36" s="182" t="s">
        <v>155</v>
      </c>
      <c r="C36" s="183"/>
      <c r="D36" s="193"/>
      <c r="E36" s="194">
        <f t="shared" ref="E36:T36" si="16">SUM(E30:E35)</f>
        <v>103593864.52000001</v>
      </c>
      <c r="F36" s="195">
        <f t="shared" si="16"/>
        <v>0</v>
      </c>
      <c r="G36" s="196">
        <f t="shared" si="16"/>
        <v>103593864.52000001</v>
      </c>
      <c r="I36" s="196">
        <f t="shared" si="16"/>
        <v>10051636.126770001</v>
      </c>
      <c r="J36" s="196">
        <f t="shared" si="16"/>
        <v>0</v>
      </c>
      <c r="K36" s="197">
        <f>SUM(K30:K35)</f>
        <v>-6033097.8530900329</v>
      </c>
      <c r="L36" s="196">
        <f t="shared" si="16"/>
        <v>0</v>
      </c>
      <c r="M36" s="196">
        <f t="shared" si="16"/>
        <v>0</v>
      </c>
      <c r="N36" s="196">
        <f t="shared" si="16"/>
        <v>0</v>
      </c>
      <c r="O36" s="196">
        <f t="shared" si="16"/>
        <v>0</v>
      </c>
      <c r="P36" s="196">
        <f t="shared" si="16"/>
        <v>0</v>
      </c>
      <c r="Q36" s="196">
        <f t="shared" ref="Q36" si="17">SUM(Q30:Q35)</f>
        <v>0</v>
      </c>
      <c r="R36" s="198">
        <f t="shared" si="16"/>
        <v>0</v>
      </c>
      <c r="S36" s="196">
        <f t="shared" si="16"/>
        <v>0</v>
      </c>
      <c r="T36" s="196">
        <f t="shared" si="16"/>
        <v>0</v>
      </c>
      <c r="U36" s="196">
        <f>SUM(U30:U35)</f>
        <v>0</v>
      </c>
      <c r="V36" s="196">
        <f>SUM(V30:V35)</f>
        <v>0</v>
      </c>
      <c r="W36" s="196">
        <f>SUM(W30:W35)</f>
        <v>0</v>
      </c>
      <c r="X36" s="196">
        <f>SUM(X30:X35)</f>
        <v>4018538.273679968</v>
      </c>
      <c r="Y36" s="196">
        <f>SUM(Y30:Y35)</f>
        <v>107612402.79367998</v>
      </c>
    </row>
    <row r="37" spans="1:25">
      <c r="A37" s="168">
        <v>30</v>
      </c>
      <c r="B37" s="214"/>
      <c r="C37" s="183"/>
      <c r="D37" s="188"/>
      <c r="E37" s="189"/>
      <c r="F37" s="200"/>
      <c r="G37" s="191"/>
    </row>
    <row r="38" spans="1:25">
      <c r="A38" s="24">
        <v>31</v>
      </c>
      <c r="B38" s="182" t="s">
        <v>156</v>
      </c>
      <c r="C38" s="183"/>
      <c r="D38" s="188"/>
      <c r="E38" s="189"/>
      <c r="F38" s="200"/>
      <c r="G38" s="191"/>
    </row>
    <row r="39" spans="1:25">
      <c r="A39" s="168">
        <v>32</v>
      </c>
      <c r="B39" s="186" t="s">
        <v>157</v>
      </c>
      <c r="C39" s="187" t="s">
        <v>158</v>
      </c>
      <c r="D39" s="205"/>
      <c r="E39" s="204">
        <v>0</v>
      </c>
      <c r="F39" s="190">
        <v>0</v>
      </c>
      <c r="G39" s="206">
        <v>0</v>
      </c>
      <c r="X39" s="192">
        <f t="shared" ref="X39:X49" si="18">SUM(I39:W39)</f>
        <v>0</v>
      </c>
      <c r="Y39" s="192">
        <f t="shared" ref="Y39:Y49" si="19">+G39+X39</f>
        <v>0</v>
      </c>
    </row>
    <row r="40" spans="1:25">
      <c r="A40" s="24">
        <v>33</v>
      </c>
      <c r="B40" s="186" t="s">
        <v>159</v>
      </c>
      <c r="C40" s="187" t="s">
        <v>160</v>
      </c>
      <c r="D40" s="205"/>
      <c r="E40" s="204">
        <v>0</v>
      </c>
      <c r="F40" s="190">
        <v>0</v>
      </c>
      <c r="G40" s="206">
        <v>0</v>
      </c>
      <c r="X40" s="192">
        <f t="shared" si="18"/>
        <v>0</v>
      </c>
      <c r="Y40" s="192">
        <f t="shared" si="19"/>
        <v>0</v>
      </c>
    </row>
    <row r="41" spans="1:25">
      <c r="A41" s="168">
        <v>34</v>
      </c>
      <c r="B41" s="186" t="s">
        <v>161</v>
      </c>
      <c r="C41" s="187" t="s">
        <v>162</v>
      </c>
      <c r="D41" s="205"/>
      <c r="E41" s="204">
        <v>0</v>
      </c>
      <c r="F41" s="190">
        <v>0</v>
      </c>
      <c r="G41" s="206">
        <v>0</v>
      </c>
      <c r="X41" s="192">
        <f t="shared" si="18"/>
        <v>0</v>
      </c>
      <c r="Y41" s="192">
        <f t="shared" si="19"/>
        <v>0</v>
      </c>
    </row>
    <row r="42" spans="1:25">
      <c r="A42" s="24">
        <v>35</v>
      </c>
      <c r="B42" s="186" t="s">
        <v>163</v>
      </c>
      <c r="C42" s="187" t="s">
        <v>164</v>
      </c>
      <c r="D42" s="205"/>
      <c r="E42" s="204">
        <v>0</v>
      </c>
      <c r="F42" s="190">
        <v>0</v>
      </c>
      <c r="G42" s="206">
        <v>0</v>
      </c>
      <c r="X42" s="192">
        <f t="shared" si="18"/>
        <v>0</v>
      </c>
      <c r="Y42" s="192">
        <f t="shared" si="19"/>
        <v>0</v>
      </c>
    </row>
    <row r="43" spans="1:25">
      <c r="A43" s="168">
        <v>36</v>
      </c>
      <c r="B43" s="186" t="s">
        <v>165</v>
      </c>
      <c r="C43" s="187" t="s">
        <v>166</v>
      </c>
      <c r="D43" s="205"/>
      <c r="E43" s="204">
        <v>0</v>
      </c>
      <c r="F43" s="190">
        <v>0</v>
      </c>
      <c r="G43" s="206">
        <v>0</v>
      </c>
      <c r="X43" s="192">
        <f t="shared" si="18"/>
        <v>0</v>
      </c>
      <c r="Y43" s="192">
        <f t="shared" si="19"/>
        <v>0</v>
      </c>
    </row>
    <row r="44" spans="1:25">
      <c r="A44" s="24">
        <v>37</v>
      </c>
      <c r="B44" s="186" t="s">
        <v>167</v>
      </c>
      <c r="C44" s="187" t="s">
        <v>168</v>
      </c>
      <c r="D44" s="205"/>
      <c r="E44" s="204">
        <v>0</v>
      </c>
      <c r="F44" s="190">
        <v>0</v>
      </c>
      <c r="G44" s="206">
        <v>0</v>
      </c>
      <c r="X44" s="192">
        <f t="shared" si="18"/>
        <v>0</v>
      </c>
      <c r="Y44" s="192">
        <f t="shared" si="19"/>
        <v>0</v>
      </c>
    </row>
    <row r="45" spans="1:25">
      <c r="A45" s="168">
        <v>38</v>
      </c>
      <c r="B45" s="186" t="s">
        <v>169</v>
      </c>
      <c r="C45" s="187" t="s">
        <v>170</v>
      </c>
      <c r="D45" s="205"/>
      <c r="E45" s="215">
        <v>0</v>
      </c>
      <c r="F45" s="190">
        <v>0</v>
      </c>
      <c r="G45" s="206">
        <v>0</v>
      </c>
      <c r="X45" s="192">
        <f t="shared" si="18"/>
        <v>0</v>
      </c>
      <c r="Y45" s="192">
        <f t="shared" si="19"/>
        <v>0</v>
      </c>
    </row>
    <row r="46" spans="1:25">
      <c r="A46" s="24">
        <v>39</v>
      </c>
      <c r="B46" s="186" t="s">
        <v>171</v>
      </c>
      <c r="C46" s="187" t="s">
        <v>172</v>
      </c>
      <c r="D46" s="205"/>
      <c r="E46" s="204">
        <v>0</v>
      </c>
      <c r="F46" s="190">
        <v>0</v>
      </c>
      <c r="G46" s="206">
        <v>0</v>
      </c>
      <c r="X46" s="192">
        <f t="shared" si="18"/>
        <v>0</v>
      </c>
      <c r="Y46" s="192">
        <f t="shared" si="19"/>
        <v>0</v>
      </c>
    </row>
    <row r="47" spans="1:25">
      <c r="A47" s="168">
        <v>40</v>
      </c>
      <c r="B47" s="186" t="s">
        <v>173</v>
      </c>
      <c r="C47" s="187" t="s">
        <v>174</v>
      </c>
      <c r="D47" s="205"/>
      <c r="E47" s="204">
        <v>0</v>
      </c>
      <c r="F47" s="190">
        <v>0</v>
      </c>
      <c r="G47" s="206">
        <v>0</v>
      </c>
      <c r="X47" s="192">
        <f t="shared" si="18"/>
        <v>0</v>
      </c>
      <c r="Y47" s="192">
        <f t="shared" si="19"/>
        <v>0</v>
      </c>
    </row>
    <row r="48" spans="1:25">
      <c r="A48" s="24">
        <v>41</v>
      </c>
      <c r="B48" s="186" t="s">
        <v>175</v>
      </c>
      <c r="C48" s="187" t="s">
        <v>176</v>
      </c>
      <c r="D48" s="205"/>
      <c r="E48" s="204">
        <v>0</v>
      </c>
      <c r="F48" s="190">
        <v>0</v>
      </c>
      <c r="G48" s="206">
        <v>0</v>
      </c>
      <c r="X48" s="192">
        <f t="shared" si="18"/>
        <v>0</v>
      </c>
      <c r="Y48" s="192">
        <f t="shared" si="19"/>
        <v>0</v>
      </c>
    </row>
    <row r="49" spans="1:25">
      <c r="A49" s="168">
        <v>42</v>
      </c>
      <c r="B49" s="186" t="s">
        <v>177</v>
      </c>
      <c r="C49" s="187" t="s">
        <v>178</v>
      </c>
      <c r="D49" s="205"/>
      <c r="E49" s="204">
        <v>0</v>
      </c>
      <c r="F49" s="190">
        <v>0</v>
      </c>
      <c r="G49" s="206">
        <v>0</v>
      </c>
      <c r="X49" s="192">
        <f t="shared" si="18"/>
        <v>0</v>
      </c>
      <c r="Y49" s="192">
        <f t="shared" si="19"/>
        <v>0</v>
      </c>
    </row>
    <row r="50" spans="1:25">
      <c r="A50" s="24">
        <v>43</v>
      </c>
      <c r="B50" s="182" t="s">
        <v>179</v>
      </c>
      <c r="C50" s="216"/>
      <c r="D50" s="217"/>
      <c r="E50" s="218">
        <f t="shared" ref="E50:G50" si="20">SUM(E39:E49)</f>
        <v>0</v>
      </c>
      <c r="F50" s="195">
        <f t="shared" si="20"/>
        <v>0</v>
      </c>
      <c r="G50" s="197">
        <f t="shared" si="20"/>
        <v>0</v>
      </c>
      <c r="I50" s="196">
        <f t="shared" ref="I50:S50" si="21">SUM(I39:I49)</f>
        <v>0</v>
      </c>
      <c r="J50" s="196">
        <f t="shared" si="21"/>
        <v>0</v>
      </c>
      <c r="K50" s="197">
        <f>SUM(K39:K49)</f>
        <v>0</v>
      </c>
      <c r="L50" s="196">
        <f t="shared" si="21"/>
        <v>0</v>
      </c>
      <c r="M50" s="196">
        <f t="shared" si="21"/>
        <v>0</v>
      </c>
      <c r="N50" s="196">
        <f t="shared" si="21"/>
        <v>0</v>
      </c>
      <c r="O50" s="196">
        <f t="shared" si="21"/>
        <v>0</v>
      </c>
      <c r="P50" s="196">
        <f t="shared" si="21"/>
        <v>0</v>
      </c>
      <c r="Q50" s="196">
        <f t="shared" ref="Q50" si="22">SUM(Q39:Q49)</f>
        <v>0</v>
      </c>
      <c r="R50" s="198">
        <f t="shared" si="21"/>
        <v>0</v>
      </c>
      <c r="S50" s="196">
        <f t="shared" si="21"/>
        <v>0</v>
      </c>
      <c r="T50" s="196">
        <f t="shared" ref="T50" si="23">SUM(T39:T49)</f>
        <v>0</v>
      </c>
      <c r="U50" s="196">
        <f>SUM(U39:U49)</f>
        <v>0</v>
      </c>
      <c r="V50" s="197">
        <f>SUM(V39:V49)</f>
        <v>0</v>
      </c>
      <c r="W50" s="197">
        <f>SUM(W39:W49)</f>
        <v>0</v>
      </c>
      <c r="X50" s="197">
        <f>SUM(X39:X49)</f>
        <v>0</v>
      </c>
      <c r="Y50" s="197">
        <f>SUM(Y39:Y49)</f>
        <v>0</v>
      </c>
    </row>
    <row r="51" spans="1:25">
      <c r="A51" s="168">
        <v>44</v>
      </c>
      <c r="B51" s="214"/>
      <c r="C51" s="183"/>
      <c r="D51" s="188"/>
      <c r="E51" s="189"/>
      <c r="F51" s="200"/>
      <c r="G51" s="191"/>
      <c r="I51" s="191"/>
      <c r="J51" s="191"/>
      <c r="K51" s="206"/>
      <c r="L51" s="191"/>
      <c r="M51" s="191"/>
      <c r="N51" s="191"/>
      <c r="O51" s="191"/>
      <c r="P51" s="191"/>
      <c r="Q51" s="191"/>
      <c r="R51" s="219"/>
      <c r="S51" s="191"/>
      <c r="T51" s="191"/>
      <c r="U51" s="191"/>
      <c r="V51" s="191"/>
      <c r="W51" s="191"/>
      <c r="X51" s="191"/>
      <c r="Y51" s="191"/>
    </row>
    <row r="52" spans="1:25">
      <c r="A52" s="24">
        <v>45</v>
      </c>
      <c r="B52" s="186" t="s">
        <v>180</v>
      </c>
      <c r="C52" s="187" t="s">
        <v>27</v>
      </c>
      <c r="D52" s="220"/>
      <c r="E52" s="221">
        <v>16946340.530000001</v>
      </c>
      <c r="F52" s="222">
        <v>0</v>
      </c>
      <c r="G52" s="223">
        <f>SUM(E52:F52)</f>
        <v>16946340.530000001</v>
      </c>
      <c r="I52" s="223">
        <f>+'6) Adj Detail'!D19</f>
        <v>505019.21645480004</v>
      </c>
      <c r="J52" s="223"/>
      <c r="K52" s="224">
        <f>+'6) Adj Detail'!F19</f>
        <v>-235953.76791544046</v>
      </c>
      <c r="L52" s="223">
        <f>+'6) Adj Detail'!G19</f>
        <v>0</v>
      </c>
      <c r="M52" s="223">
        <f>+'6) Adj Detail'!I19</f>
        <v>0</v>
      </c>
      <c r="N52" s="223">
        <f>+'6) Adj Detail'!J19</f>
        <v>0</v>
      </c>
      <c r="O52" s="223">
        <f>+'6) Adj Detail'!L19</f>
        <v>8101.7268279999998</v>
      </c>
      <c r="P52" s="223">
        <v>0</v>
      </c>
      <c r="Q52" s="223">
        <f>+'6) Adj Detail'!M19</f>
        <v>0</v>
      </c>
      <c r="R52" s="225">
        <f>+'6) Adj Detail'!M19</f>
        <v>0</v>
      </c>
      <c r="S52" s="223">
        <f>+'6) Adj Detail'!P19</f>
        <v>-4118.6553999999996</v>
      </c>
      <c r="T52" s="223">
        <f>+'6) Adj Detail'!Q19</f>
        <v>0</v>
      </c>
      <c r="U52" s="223">
        <f>+'6) Adj Detail'!R19</f>
        <v>295971.6839753844</v>
      </c>
      <c r="V52" s="223"/>
      <c r="W52" s="223"/>
      <c r="X52" s="192">
        <f>SUM(I52:W52)</f>
        <v>569020.20394274406</v>
      </c>
      <c r="Y52" s="192">
        <f>+G52+X52</f>
        <v>17515360.733942747</v>
      </c>
    </row>
    <row r="53" spans="1:25" ht="16.5" thickBot="1">
      <c r="A53" s="168">
        <v>46</v>
      </c>
      <c r="B53" s="182" t="s">
        <v>181</v>
      </c>
      <c r="C53" s="183"/>
      <c r="D53" s="208"/>
      <c r="E53" s="209">
        <f t="shared" ref="E53:G53" si="24">E27-E36-E52</f>
        <v>84498986.090000004</v>
      </c>
      <c r="F53" s="226">
        <f t="shared" si="24"/>
        <v>91471.09</v>
      </c>
      <c r="G53" s="211">
        <f t="shared" si="24"/>
        <v>84590457.180000007</v>
      </c>
      <c r="I53" s="211">
        <f t="shared" ref="I53:S53" si="25">I27-I36-I52</f>
        <v>4915376.4412351996</v>
      </c>
      <c r="J53" s="211">
        <f t="shared" si="25"/>
        <v>0</v>
      </c>
      <c r="K53" s="212">
        <f>K27-K36-K52</f>
        <v>-2460125.5544945621</v>
      </c>
      <c r="L53" s="211">
        <f>L27-L36-L52</f>
        <v>0</v>
      </c>
      <c r="M53" s="211">
        <f t="shared" si="25"/>
        <v>0</v>
      </c>
      <c r="N53" s="211">
        <f t="shared" si="25"/>
        <v>0</v>
      </c>
      <c r="O53" s="211">
        <f t="shared" si="25"/>
        <v>-8101.7268279999998</v>
      </c>
      <c r="P53" s="211">
        <f t="shared" si="25"/>
        <v>0</v>
      </c>
      <c r="Q53" s="211">
        <f t="shared" ref="Q53" si="26">Q27-Q36-Q52</f>
        <v>0</v>
      </c>
      <c r="R53" s="213">
        <f t="shared" si="25"/>
        <v>0</v>
      </c>
      <c r="S53" s="211">
        <f t="shared" si="25"/>
        <v>-97526.344599999997</v>
      </c>
      <c r="T53" s="211">
        <f t="shared" ref="T53" si="27">T27-T36-T52</f>
        <v>0</v>
      </c>
      <c r="U53" s="211">
        <f>U27-U36-U52</f>
        <v>4924119.3160246154</v>
      </c>
      <c r="V53" s="211">
        <f>V27-V36-V52</f>
        <v>0</v>
      </c>
      <c r="W53" s="211">
        <f>W27-W36-W52</f>
        <v>0</v>
      </c>
      <c r="X53" s="211">
        <f>X27-X36-X52</f>
        <v>7273742.1313372515</v>
      </c>
      <c r="Y53" s="211">
        <f>Y27-Y36-Y52</f>
        <v>91864199.311337262</v>
      </c>
    </row>
    <row r="54" spans="1:25" ht="16.5" thickTop="1">
      <c r="A54" s="24">
        <v>47</v>
      </c>
      <c r="B54" s="214"/>
      <c r="C54" s="183"/>
      <c r="D54" s="188"/>
      <c r="E54" s="189"/>
      <c r="F54" s="200"/>
      <c r="G54" s="191"/>
    </row>
    <row r="55" spans="1:25">
      <c r="A55" s="168">
        <v>48</v>
      </c>
      <c r="B55" s="182" t="s">
        <v>182</v>
      </c>
      <c r="C55" s="183"/>
      <c r="D55" s="188"/>
      <c r="E55" s="189"/>
      <c r="F55" s="200"/>
      <c r="G55" s="191"/>
    </row>
    <row r="56" spans="1:25">
      <c r="A56" s="24">
        <v>49</v>
      </c>
      <c r="B56" s="227">
        <v>813</v>
      </c>
      <c r="C56" s="187" t="s">
        <v>183</v>
      </c>
      <c r="D56" s="188"/>
      <c r="E56" s="204">
        <v>698.22</v>
      </c>
      <c r="F56" s="190">
        <v>518290.52</v>
      </c>
      <c r="G56" s="191">
        <f>SUM(E56:F56)</f>
        <v>518988.74</v>
      </c>
      <c r="N56" s="35">
        <f>+'Pro Forma Wage Adjustment'!P20</f>
        <v>16165.959663484771</v>
      </c>
      <c r="X56" s="192">
        <f>SUM(I56:W56)</f>
        <v>16165.959663484771</v>
      </c>
      <c r="Y56" s="192">
        <f>+G56+X56</f>
        <v>535154.69966348482</v>
      </c>
    </row>
    <row r="57" spans="1:25">
      <c r="A57" s="168">
        <v>50</v>
      </c>
      <c r="B57" s="227"/>
      <c r="C57" s="187"/>
      <c r="D57" s="188"/>
      <c r="E57" s="204"/>
      <c r="F57" s="190"/>
      <c r="G57" s="191"/>
    </row>
    <row r="58" spans="1:25">
      <c r="A58" s="24">
        <v>51</v>
      </c>
      <c r="B58" s="182" t="s">
        <v>184</v>
      </c>
      <c r="C58" s="183"/>
      <c r="D58" s="188"/>
      <c r="E58" s="189"/>
      <c r="F58" s="200"/>
      <c r="G58" s="191"/>
    </row>
    <row r="59" spans="1:25">
      <c r="A59" s="168">
        <v>52</v>
      </c>
      <c r="B59" s="182" t="s">
        <v>185</v>
      </c>
      <c r="C59" s="183"/>
      <c r="D59" s="188"/>
      <c r="E59" s="189"/>
      <c r="F59" s="200"/>
      <c r="G59" s="191"/>
    </row>
    <row r="60" spans="1:25">
      <c r="A60" s="24">
        <v>53</v>
      </c>
      <c r="B60" s="186" t="s">
        <v>186</v>
      </c>
      <c r="C60" s="187" t="s">
        <v>187</v>
      </c>
      <c r="D60" s="188"/>
      <c r="E60" s="204">
        <v>1265905.44</v>
      </c>
      <c r="F60" s="190">
        <v>182305.89</v>
      </c>
      <c r="G60" s="191">
        <f t="shared" ref="G60:G70" si="28">SUM(E60:F60)</f>
        <v>1448211.33</v>
      </c>
      <c r="N60" s="35">
        <f>+'Pro Forma Wage Adjustment'!P21</f>
        <v>101267.6759241525</v>
      </c>
      <c r="Q60" s="35">
        <f>+'Pro Forma Compliance Department'!L15</f>
        <v>183761.99296</v>
      </c>
      <c r="R60" s="151">
        <f>'MAOP UG-160787 Deferral'!D13</f>
        <v>959086.83400000003</v>
      </c>
      <c r="X60" s="192">
        <f t="shared" ref="X60:X70" si="29">SUM(I60:W60)</f>
        <v>1244116.5028841526</v>
      </c>
      <c r="Y60" s="192">
        <f t="shared" ref="Y60:Y70" si="30">+G60+X60</f>
        <v>2692327.8328841524</v>
      </c>
    </row>
    <row r="61" spans="1:25">
      <c r="A61" s="168">
        <v>54</v>
      </c>
      <c r="B61" s="186" t="s">
        <v>188</v>
      </c>
      <c r="C61" s="187" t="s">
        <v>189</v>
      </c>
      <c r="D61" s="188"/>
      <c r="E61" s="204">
        <v>90246.86</v>
      </c>
      <c r="F61" s="190">
        <v>395274.34</v>
      </c>
      <c r="G61" s="191">
        <f t="shared" si="28"/>
        <v>485521.2</v>
      </c>
      <c r="N61" s="35">
        <f>+'Pro Forma Wage Adjustment'!P22+'Pro Forma Wage Adjustment'!P39</f>
        <v>33387.590368974023</v>
      </c>
      <c r="X61" s="192">
        <f t="shared" si="29"/>
        <v>33387.590368974023</v>
      </c>
      <c r="Y61" s="192">
        <f t="shared" si="30"/>
        <v>518908.79036897403</v>
      </c>
    </row>
    <row r="62" spans="1:25">
      <c r="A62" s="24">
        <v>55</v>
      </c>
      <c r="B62" s="201" t="s">
        <v>190</v>
      </c>
      <c r="C62" s="187" t="s">
        <v>191</v>
      </c>
      <c r="D62" s="205"/>
      <c r="E62" s="204">
        <v>111564.47</v>
      </c>
      <c r="F62" s="190">
        <v>0</v>
      </c>
      <c r="G62" s="191">
        <f t="shared" si="28"/>
        <v>111564.47</v>
      </c>
      <c r="N62" s="35">
        <f>+'Pro Forma Wage Adjustment'!P40</f>
        <v>5603.6840876295882</v>
      </c>
      <c r="X62" s="192">
        <f t="shared" si="29"/>
        <v>5603.6840876295882</v>
      </c>
      <c r="Y62" s="192">
        <f t="shared" si="30"/>
        <v>117168.15408762959</v>
      </c>
    </row>
    <row r="63" spans="1:25">
      <c r="A63" s="168">
        <v>56</v>
      </c>
      <c r="B63" s="201" t="s">
        <v>192</v>
      </c>
      <c r="C63" s="187" t="s">
        <v>193</v>
      </c>
      <c r="D63" s="188"/>
      <c r="E63" s="204">
        <v>2941525.26</v>
      </c>
      <c r="F63" s="190">
        <v>570246.49</v>
      </c>
      <c r="G63" s="191">
        <f t="shared" si="28"/>
        <v>3511771.75</v>
      </c>
      <c r="N63" s="35">
        <f>+'Pro Forma Wage Adjustment'!P23+'Pro Forma Wage Adjustment'!P41</f>
        <v>176019.52035305998</v>
      </c>
      <c r="V63" s="228"/>
      <c r="X63" s="192">
        <f t="shared" si="29"/>
        <v>176019.52035305998</v>
      </c>
      <c r="Y63" s="192">
        <f t="shared" si="30"/>
        <v>3687791.2703530602</v>
      </c>
    </row>
    <row r="64" spans="1:25">
      <c r="A64" s="24">
        <v>57</v>
      </c>
      <c r="B64" s="186" t="s">
        <v>194</v>
      </c>
      <c r="C64" s="187" t="s">
        <v>195</v>
      </c>
      <c r="D64" s="188"/>
      <c r="E64" s="204">
        <v>492860.69</v>
      </c>
      <c r="F64" s="190">
        <v>97091.34</v>
      </c>
      <c r="G64" s="191">
        <f t="shared" si="28"/>
        <v>589952.03</v>
      </c>
      <c r="N64" s="35">
        <f>+'Pro Forma Wage Adjustment'!P42</f>
        <v>21608.346320120472</v>
      </c>
      <c r="X64" s="192">
        <f t="shared" si="29"/>
        <v>21608.346320120472</v>
      </c>
      <c r="Y64" s="192">
        <f t="shared" si="30"/>
        <v>611560.37632012053</v>
      </c>
    </row>
    <row r="65" spans="1:25">
      <c r="A65" s="168">
        <v>58</v>
      </c>
      <c r="B65" s="186" t="s">
        <v>196</v>
      </c>
      <c r="C65" s="187" t="s">
        <v>197</v>
      </c>
      <c r="D65" s="188"/>
      <c r="E65" s="204">
        <v>111243.52</v>
      </c>
      <c r="F65" s="190">
        <v>40900.660000000003</v>
      </c>
      <c r="G65" s="191">
        <f t="shared" si="28"/>
        <v>152144.18</v>
      </c>
      <c r="N65" s="35">
        <f>+'Pro Forma Wage Adjustment'!P43</f>
        <v>5047.1929699232796</v>
      </c>
      <c r="X65" s="192">
        <f t="shared" si="29"/>
        <v>5047.1929699232796</v>
      </c>
      <c r="Y65" s="192">
        <f t="shared" si="30"/>
        <v>157191.37296992328</v>
      </c>
    </row>
    <row r="66" spans="1:25">
      <c r="A66" s="24">
        <v>59</v>
      </c>
      <c r="B66" s="186" t="s">
        <v>198</v>
      </c>
      <c r="C66" s="187" t="s">
        <v>199</v>
      </c>
      <c r="D66" s="188"/>
      <c r="E66" s="204">
        <v>1321461.1100000001</v>
      </c>
      <c r="F66" s="190">
        <v>0</v>
      </c>
      <c r="G66" s="191">
        <f t="shared" si="28"/>
        <v>1321461.1100000001</v>
      </c>
      <c r="N66" s="35">
        <f>+'Pro Forma Wage Adjustment'!P24+'Pro Forma Wage Adjustment'!P44</f>
        <v>82190.81516810185</v>
      </c>
      <c r="X66" s="192">
        <f t="shared" si="29"/>
        <v>82190.81516810185</v>
      </c>
      <c r="Y66" s="192">
        <f t="shared" si="30"/>
        <v>1403651.9251681019</v>
      </c>
    </row>
    <row r="67" spans="1:25">
      <c r="A67" s="168">
        <v>60</v>
      </c>
      <c r="B67" s="186" t="s">
        <v>200</v>
      </c>
      <c r="C67" s="187" t="s">
        <v>201</v>
      </c>
      <c r="D67" s="188"/>
      <c r="E67" s="204">
        <v>1049257.67</v>
      </c>
      <c r="F67" s="190">
        <v>0</v>
      </c>
      <c r="G67" s="191">
        <f t="shared" si="28"/>
        <v>1049257.67</v>
      </c>
      <c r="N67" s="35">
        <f>+'Pro Forma Wage Adjustment'!P45</f>
        <v>67991.528019673511</v>
      </c>
      <c r="X67" s="192">
        <f t="shared" si="29"/>
        <v>67991.528019673511</v>
      </c>
      <c r="Y67" s="192">
        <f t="shared" si="30"/>
        <v>1117249.1980196733</v>
      </c>
    </row>
    <row r="68" spans="1:25">
      <c r="A68" s="24">
        <v>61</v>
      </c>
      <c r="B68" s="186" t="s">
        <v>202</v>
      </c>
      <c r="C68" s="187" t="s">
        <v>203</v>
      </c>
      <c r="D68" s="188"/>
      <c r="E68" s="204">
        <v>2478406.37</v>
      </c>
      <c r="F68" s="190">
        <v>809791.83</v>
      </c>
      <c r="G68" s="191">
        <f t="shared" si="28"/>
        <v>3288198.2</v>
      </c>
      <c r="N68" s="35">
        <f>+'Pro Forma Wage Adjustment'!P25+'Pro Forma Wage Adjustment'!P46</f>
        <v>108190.8393745224</v>
      </c>
      <c r="X68" s="192">
        <f t="shared" si="29"/>
        <v>108190.8393745224</v>
      </c>
      <c r="Y68" s="192">
        <f t="shared" si="30"/>
        <v>3396389.0393745224</v>
      </c>
    </row>
    <row r="69" spans="1:25">
      <c r="A69" s="168">
        <v>62</v>
      </c>
      <c r="B69" s="186" t="s">
        <v>204</v>
      </c>
      <c r="C69" s="187" t="s">
        <v>205</v>
      </c>
      <c r="D69" s="188"/>
      <c r="E69" s="204">
        <v>148018.69</v>
      </c>
      <c r="F69" s="190">
        <v>1881.99</v>
      </c>
      <c r="G69" s="191">
        <f t="shared" si="28"/>
        <v>149900.68</v>
      </c>
      <c r="X69" s="192">
        <f t="shared" si="29"/>
        <v>0</v>
      </c>
      <c r="Y69" s="192">
        <f t="shared" si="30"/>
        <v>149900.68</v>
      </c>
    </row>
    <row r="70" spans="1:25">
      <c r="A70" s="24">
        <v>63</v>
      </c>
      <c r="B70" s="186" t="s">
        <v>206</v>
      </c>
      <c r="C70" s="187" t="s">
        <v>207</v>
      </c>
      <c r="D70" s="205"/>
      <c r="E70" s="204">
        <v>0</v>
      </c>
      <c r="F70" s="190">
        <v>0</v>
      </c>
      <c r="G70" s="191">
        <f t="shared" si="28"/>
        <v>0</v>
      </c>
      <c r="X70" s="192">
        <f t="shared" si="29"/>
        <v>0</v>
      </c>
      <c r="Y70" s="192">
        <f t="shared" si="30"/>
        <v>0</v>
      </c>
    </row>
    <row r="71" spans="1:25">
      <c r="A71" s="168">
        <v>64</v>
      </c>
      <c r="B71" s="214"/>
      <c r="C71" s="229" t="s">
        <v>208</v>
      </c>
      <c r="D71" s="193"/>
      <c r="E71" s="194">
        <f t="shared" ref="E71:S71" si="31">SUM(E60:E70)</f>
        <v>10010490.08</v>
      </c>
      <c r="F71" s="207">
        <f t="shared" si="31"/>
        <v>2097492.54</v>
      </c>
      <c r="G71" s="196">
        <f t="shared" si="31"/>
        <v>12107982.620000001</v>
      </c>
      <c r="I71" s="196">
        <f t="shared" si="31"/>
        <v>0</v>
      </c>
      <c r="J71" s="196">
        <f t="shared" si="31"/>
        <v>0</v>
      </c>
      <c r="K71" s="197">
        <f>SUM(K60:K70)</f>
        <v>0</v>
      </c>
      <c r="L71" s="196">
        <f t="shared" si="31"/>
        <v>0</v>
      </c>
      <c r="M71" s="196">
        <f t="shared" si="31"/>
        <v>0</v>
      </c>
      <c r="N71" s="196">
        <f t="shared" si="31"/>
        <v>601307.19258615759</v>
      </c>
      <c r="O71" s="196">
        <f t="shared" si="31"/>
        <v>0</v>
      </c>
      <c r="P71" s="196">
        <f t="shared" si="31"/>
        <v>0</v>
      </c>
      <c r="Q71" s="196">
        <f t="shared" ref="Q71" si="32">SUM(Q60:Q70)</f>
        <v>183761.99296</v>
      </c>
      <c r="R71" s="198">
        <f t="shared" si="31"/>
        <v>959086.83400000003</v>
      </c>
      <c r="S71" s="196">
        <f t="shared" si="31"/>
        <v>0</v>
      </c>
      <c r="T71" s="196">
        <f t="shared" ref="T71" si="33">SUM(T60:T70)</f>
        <v>0</v>
      </c>
      <c r="U71" s="196">
        <f>SUM(U60:U70)</f>
        <v>0</v>
      </c>
      <c r="V71" s="196">
        <f>SUM(V60:V70)</f>
        <v>0</v>
      </c>
      <c r="W71" s="196">
        <f>SUM(W60:W70)</f>
        <v>0</v>
      </c>
      <c r="X71" s="196">
        <f>SUM(X60:X70)</f>
        <v>1744156.0195461577</v>
      </c>
      <c r="Y71" s="196">
        <f>SUM(Y60:Y70)</f>
        <v>13852138.63954616</v>
      </c>
    </row>
    <row r="72" spans="1:25">
      <c r="A72" s="24">
        <v>65</v>
      </c>
      <c r="B72" s="214"/>
      <c r="C72" s="183"/>
      <c r="D72" s="188"/>
      <c r="E72" s="189"/>
      <c r="F72" s="200"/>
      <c r="G72" s="191"/>
    </row>
    <row r="73" spans="1:25">
      <c r="A73" s="168">
        <v>66</v>
      </c>
      <c r="B73" s="182" t="s">
        <v>209</v>
      </c>
      <c r="C73" s="183"/>
      <c r="D73" s="188"/>
      <c r="E73" s="189"/>
      <c r="F73" s="200"/>
      <c r="G73" s="191"/>
    </row>
    <row r="74" spans="1:25">
      <c r="A74" s="24">
        <v>67</v>
      </c>
      <c r="B74" s="186" t="s">
        <v>210</v>
      </c>
      <c r="C74" s="187" t="s">
        <v>211</v>
      </c>
      <c r="D74" s="205"/>
      <c r="E74" s="204">
        <v>113684.28</v>
      </c>
      <c r="F74" s="190">
        <v>20136.150000000001</v>
      </c>
      <c r="G74" s="206">
        <f t="shared" ref="G74:G82" si="34">SUM(E74:F74)</f>
        <v>133820.43</v>
      </c>
      <c r="N74" s="35">
        <f>+'Pro Forma Wage Adjustment'!P26</f>
        <v>9843.9646467216407</v>
      </c>
      <c r="X74" s="192">
        <f t="shared" ref="X74:X82" si="35">SUM(I74:W74)</f>
        <v>9843.9646467216407</v>
      </c>
      <c r="Y74" s="192">
        <f t="shared" ref="Y74:Y82" si="36">+G74+X74</f>
        <v>143664.39464672163</v>
      </c>
    </row>
    <row r="75" spans="1:25">
      <c r="A75" s="168">
        <v>68</v>
      </c>
      <c r="B75" s="186" t="s">
        <v>212</v>
      </c>
      <c r="C75" s="187" t="s">
        <v>213</v>
      </c>
      <c r="D75" s="188"/>
      <c r="E75" s="204">
        <v>15119.07</v>
      </c>
      <c r="F75" s="190">
        <v>715.76</v>
      </c>
      <c r="G75" s="203">
        <f t="shared" si="34"/>
        <v>15834.83</v>
      </c>
      <c r="N75" s="35">
        <f>+'Pro Forma Wage Adjustment'!P47</f>
        <v>4.6540771200000002</v>
      </c>
      <c r="X75" s="192">
        <f t="shared" si="35"/>
        <v>4.6540771200000002</v>
      </c>
      <c r="Y75" s="192">
        <f t="shared" si="36"/>
        <v>15839.48407712</v>
      </c>
    </row>
    <row r="76" spans="1:25">
      <c r="A76" s="24">
        <v>69</v>
      </c>
      <c r="B76" s="186" t="s">
        <v>214</v>
      </c>
      <c r="C76" s="187" t="s">
        <v>215</v>
      </c>
      <c r="D76" s="188"/>
      <c r="E76" s="204">
        <v>1231030.56</v>
      </c>
      <c r="F76" s="190">
        <v>23066.04</v>
      </c>
      <c r="G76" s="203">
        <f t="shared" si="34"/>
        <v>1254096.6000000001</v>
      </c>
      <c r="N76" s="35">
        <f>+'Pro Forma Wage Adjustment'!P27+'Pro Forma Wage Adjustment'!P48</f>
        <v>42988.415787117483</v>
      </c>
      <c r="X76" s="192">
        <f t="shared" si="35"/>
        <v>42988.415787117483</v>
      </c>
      <c r="Y76" s="192">
        <f t="shared" si="36"/>
        <v>1297085.0157871176</v>
      </c>
    </row>
    <row r="77" spans="1:25">
      <c r="A77" s="168">
        <v>70</v>
      </c>
      <c r="B77" s="201" t="s">
        <v>216</v>
      </c>
      <c r="C77" s="187" t="s">
        <v>191</v>
      </c>
      <c r="D77" s="205"/>
      <c r="E77" s="204">
        <v>39409.83</v>
      </c>
      <c r="F77" s="190">
        <v>3825.97</v>
      </c>
      <c r="G77" s="206">
        <f t="shared" si="34"/>
        <v>43235.8</v>
      </c>
      <c r="N77" s="35">
        <f>+'Pro Forma Wage Adjustment'!P49</f>
        <v>1280.0387279048994</v>
      </c>
      <c r="X77" s="192">
        <f t="shared" si="35"/>
        <v>1280.0387279048994</v>
      </c>
      <c r="Y77" s="192">
        <f t="shared" si="36"/>
        <v>44515.838727904906</v>
      </c>
    </row>
    <row r="78" spans="1:25">
      <c r="A78" s="24">
        <v>71</v>
      </c>
      <c r="B78" s="186" t="s">
        <v>217</v>
      </c>
      <c r="C78" s="187" t="s">
        <v>218</v>
      </c>
      <c r="D78" s="188"/>
      <c r="E78" s="204">
        <v>330076.05</v>
      </c>
      <c r="F78" s="230">
        <v>3175.64</v>
      </c>
      <c r="G78" s="203">
        <f t="shared" si="34"/>
        <v>333251.69</v>
      </c>
      <c r="N78" s="35">
        <f>+'Pro Forma Wage Adjustment'!P50</f>
        <v>15556.733922439462</v>
      </c>
      <c r="X78" s="192">
        <f t="shared" si="35"/>
        <v>15556.733922439462</v>
      </c>
      <c r="Y78" s="192">
        <f t="shared" si="36"/>
        <v>348808.42392243946</v>
      </c>
    </row>
    <row r="79" spans="1:25">
      <c r="A79" s="168">
        <v>72</v>
      </c>
      <c r="B79" s="186" t="s">
        <v>219</v>
      </c>
      <c r="C79" s="187" t="s">
        <v>220</v>
      </c>
      <c r="D79" s="188"/>
      <c r="E79" s="204">
        <v>21279.35</v>
      </c>
      <c r="F79" s="230" t="s">
        <v>973</v>
      </c>
      <c r="G79" s="203">
        <f t="shared" si="34"/>
        <v>21279.35</v>
      </c>
      <c r="N79" s="35">
        <f>+'Pro Forma Wage Adjustment'!P51</f>
        <v>738.35822737941965</v>
      </c>
      <c r="X79" s="192">
        <f t="shared" si="35"/>
        <v>738.35822737941965</v>
      </c>
      <c r="Y79" s="192">
        <f t="shared" si="36"/>
        <v>22017.708227379419</v>
      </c>
    </row>
    <row r="80" spans="1:25">
      <c r="A80" s="24">
        <v>73</v>
      </c>
      <c r="B80" s="186" t="s">
        <v>221</v>
      </c>
      <c r="C80" s="187" t="s">
        <v>102</v>
      </c>
      <c r="D80" s="188"/>
      <c r="E80" s="204">
        <v>1172841.0900000001</v>
      </c>
      <c r="F80" s="230">
        <v>4184.87</v>
      </c>
      <c r="G80" s="203">
        <f t="shared" si="34"/>
        <v>1177025.9600000002</v>
      </c>
      <c r="N80" s="35">
        <f>+'Pro Forma Wage Adjustment'!P28+'Pro Forma Wage Adjustment'!P52</f>
        <v>59966.527919198685</v>
      </c>
      <c r="X80" s="192">
        <f t="shared" si="35"/>
        <v>59966.527919198685</v>
      </c>
      <c r="Y80" s="192">
        <f t="shared" si="36"/>
        <v>1236992.4879191988</v>
      </c>
    </row>
    <row r="81" spans="1:25">
      <c r="A81" s="168">
        <v>74</v>
      </c>
      <c r="B81" s="186" t="s">
        <v>222</v>
      </c>
      <c r="C81" s="187" t="s">
        <v>223</v>
      </c>
      <c r="D81" s="188"/>
      <c r="E81" s="204">
        <v>888408.89</v>
      </c>
      <c r="F81" s="230">
        <v>204765.56</v>
      </c>
      <c r="G81" s="203">
        <f t="shared" si="34"/>
        <v>1093174.45</v>
      </c>
      <c r="N81" s="35">
        <f>+'Pro Forma Wage Adjustment'!P29+'Pro Forma Wage Adjustment'!P53</f>
        <v>64841.504368524307</v>
      </c>
      <c r="X81" s="192">
        <f t="shared" si="35"/>
        <v>64841.504368524307</v>
      </c>
      <c r="Y81" s="192">
        <f t="shared" si="36"/>
        <v>1158015.9543685243</v>
      </c>
    </row>
    <row r="82" spans="1:25">
      <c r="A82" s="24">
        <v>75</v>
      </c>
      <c r="B82" s="186" t="s">
        <v>224</v>
      </c>
      <c r="C82" s="187" t="s">
        <v>225</v>
      </c>
      <c r="D82" s="188"/>
      <c r="E82" s="204">
        <v>144620.75</v>
      </c>
      <c r="F82" s="230">
        <v>1954.91</v>
      </c>
      <c r="G82" s="203">
        <f t="shared" si="34"/>
        <v>146575.66</v>
      </c>
      <c r="N82" s="35">
        <f>+'Pro Forma Wage Adjustment'!P54</f>
        <v>4497.1481727372602</v>
      </c>
      <c r="X82" s="192">
        <f t="shared" si="35"/>
        <v>4497.1481727372602</v>
      </c>
      <c r="Y82" s="192">
        <f t="shared" si="36"/>
        <v>151072.80817273728</v>
      </c>
    </row>
    <row r="83" spans="1:25">
      <c r="A83" s="168">
        <v>76</v>
      </c>
      <c r="B83" s="214"/>
      <c r="C83" s="229" t="s">
        <v>226</v>
      </c>
      <c r="D83" s="193"/>
      <c r="E83" s="194">
        <f t="shared" ref="E83:G83" si="37">SUM(E74:E82)</f>
        <v>3956469.8700000006</v>
      </c>
      <c r="F83" s="207">
        <f t="shared" si="37"/>
        <v>261824.9</v>
      </c>
      <c r="G83" s="196">
        <f t="shared" si="37"/>
        <v>4218294.7700000005</v>
      </c>
      <c r="I83" s="196">
        <f t="shared" ref="I83:S83" si="38">SUM(I74:I82)</f>
        <v>0</v>
      </c>
      <c r="J83" s="196">
        <f t="shared" si="38"/>
        <v>0</v>
      </c>
      <c r="K83" s="197">
        <f>SUM(K74:K82)</f>
        <v>0</v>
      </c>
      <c r="L83" s="196">
        <f>SUM(L74:L82)</f>
        <v>0</v>
      </c>
      <c r="M83" s="196">
        <f t="shared" si="38"/>
        <v>0</v>
      </c>
      <c r="N83" s="196">
        <f t="shared" si="38"/>
        <v>199717.34584914317</v>
      </c>
      <c r="O83" s="196">
        <f t="shared" si="38"/>
        <v>0</v>
      </c>
      <c r="P83" s="196">
        <f t="shared" si="38"/>
        <v>0</v>
      </c>
      <c r="Q83" s="196">
        <f t="shared" ref="Q83" si="39">SUM(Q74:Q82)</f>
        <v>0</v>
      </c>
      <c r="R83" s="198">
        <f>SUM(R74:R82)</f>
        <v>0</v>
      </c>
      <c r="S83" s="196">
        <f t="shared" si="38"/>
        <v>0</v>
      </c>
      <c r="T83" s="196">
        <f t="shared" ref="T83" si="40">SUM(T74:T82)</f>
        <v>0</v>
      </c>
      <c r="U83" s="196">
        <f>SUM(U74:U82)</f>
        <v>0</v>
      </c>
      <c r="V83" s="196">
        <f>SUM(V74:V82)</f>
        <v>0</v>
      </c>
      <c r="W83" s="196">
        <f>SUM(W74:W82)</f>
        <v>0</v>
      </c>
      <c r="X83" s="196">
        <f>SUM(X74:X82)</f>
        <v>199717.34584914317</v>
      </c>
      <c r="Y83" s="196">
        <f>SUM(Y74:Y82)</f>
        <v>4418012.1158491438</v>
      </c>
    </row>
    <row r="84" spans="1:25">
      <c r="A84" s="24">
        <v>77</v>
      </c>
      <c r="B84" s="182" t="s">
        <v>227</v>
      </c>
      <c r="C84" s="183"/>
      <c r="D84" s="220"/>
      <c r="E84" s="221">
        <f t="shared" ref="E84:G84" si="41">E71+E83</f>
        <v>13966959.950000001</v>
      </c>
      <c r="F84" s="231">
        <f t="shared" si="41"/>
        <v>2359317.44</v>
      </c>
      <c r="G84" s="223">
        <f t="shared" si="41"/>
        <v>16326277.390000001</v>
      </c>
      <c r="I84" s="223">
        <f t="shared" ref="I84:S84" si="42">I71+I83</f>
        <v>0</v>
      </c>
      <c r="J84" s="223">
        <f t="shared" si="42"/>
        <v>0</v>
      </c>
      <c r="K84" s="224">
        <f>K71+K83</f>
        <v>0</v>
      </c>
      <c r="L84" s="223">
        <f>L71+L83</f>
        <v>0</v>
      </c>
      <c r="M84" s="223">
        <f t="shared" si="42"/>
        <v>0</v>
      </c>
      <c r="N84" s="223">
        <f t="shared" si="42"/>
        <v>801024.53843530081</v>
      </c>
      <c r="O84" s="223">
        <f t="shared" si="42"/>
        <v>0</v>
      </c>
      <c r="P84" s="223">
        <f t="shared" si="42"/>
        <v>0</v>
      </c>
      <c r="Q84" s="223">
        <f t="shared" ref="Q84" si="43">Q71+Q83</f>
        <v>183761.99296</v>
      </c>
      <c r="R84" s="225">
        <f>R71+R83</f>
        <v>959086.83400000003</v>
      </c>
      <c r="S84" s="223">
        <f t="shared" si="42"/>
        <v>0</v>
      </c>
      <c r="T84" s="223">
        <f t="shared" ref="T84" si="44">T71+T83</f>
        <v>0</v>
      </c>
      <c r="U84" s="223">
        <f>U71+U83</f>
        <v>0</v>
      </c>
      <c r="V84" s="223">
        <f>V71+V83</f>
        <v>0</v>
      </c>
      <c r="W84" s="223">
        <f>W71+W83</f>
        <v>0</v>
      </c>
      <c r="X84" s="223">
        <f>X71+X83</f>
        <v>1943873.3653953008</v>
      </c>
      <c r="Y84" s="223">
        <f>Y71+Y83</f>
        <v>18270150.755395304</v>
      </c>
    </row>
    <row r="85" spans="1:25">
      <c r="A85" s="168">
        <v>78</v>
      </c>
      <c r="B85" s="214"/>
      <c r="C85" s="183"/>
      <c r="D85" s="188"/>
      <c r="E85" s="189"/>
      <c r="F85" s="200"/>
      <c r="G85" s="191"/>
    </row>
    <row r="86" spans="1:25">
      <c r="A86" s="24">
        <v>79</v>
      </c>
      <c r="B86" s="182" t="s">
        <v>228</v>
      </c>
      <c r="C86" s="183"/>
      <c r="D86" s="188"/>
      <c r="E86" s="189"/>
      <c r="F86" s="200"/>
      <c r="G86" s="191"/>
    </row>
    <row r="87" spans="1:25">
      <c r="A87" s="168">
        <v>80</v>
      </c>
      <c r="B87" s="186" t="s">
        <v>229</v>
      </c>
      <c r="C87" s="187" t="s">
        <v>230</v>
      </c>
      <c r="D87" s="188"/>
      <c r="E87" s="204">
        <v>-2718</v>
      </c>
      <c r="F87" s="230">
        <v>-9.7899999999999991</v>
      </c>
      <c r="G87" s="203">
        <f>SUM(E87:F87)</f>
        <v>-2727.79</v>
      </c>
      <c r="X87" s="192">
        <f>SUM(I87:W87)</f>
        <v>0</v>
      </c>
      <c r="Y87" s="192">
        <f>+G87+X87</f>
        <v>-2727.79</v>
      </c>
    </row>
    <row r="88" spans="1:25">
      <c r="A88" s="24">
        <v>81</v>
      </c>
      <c r="B88" s="186" t="s">
        <v>231</v>
      </c>
      <c r="C88" s="187" t="s">
        <v>232</v>
      </c>
      <c r="D88" s="188"/>
      <c r="E88" s="204">
        <v>424648.59</v>
      </c>
      <c r="F88" s="230">
        <v>98249.5</v>
      </c>
      <c r="G88" s="203">
        <f>SUM(E88:F88)</f>
        <v>522898.09</v>
      </c>
      <c r="N88" s="35">
        <f>+'Pro Forma Wage Adjustment'!P55</f>
        <v>26016.440478029759</v>
      </c>
      <c r="X88" s="192">
        <f>SUM(I88:W88)</f>
        <v>26016.440478029759</v>
      </c>
      <c r="Y88" s="192">
        <f>+G88+X88</f>
        <v>548914.53047802974</v>
      </c>
    </row>
    <row r="89" spans="1:25">
      <c r="A89" s="168">
        <v>82</v>
      </c>
      <c r="B89" s="186" t="s">
        <v>233</v>
      </c>
      <c r="C89" s="187" t="s">
        <v>234</v>
      </c>
      <c r="D89" s="188"/>
      <c r="E89" s="204">
        <v>523112.58</v>
      </c>
      <c r="F89" s="230">
        <v>4560961.6900000004</v>
      </c>
      <c r="G89" s="203">
        <f>SUM(E89:F89)</f>
        <v>5084074.2700000005</v>
      </c>
      <c r="N89" s="35">
        <f>+'Pro Forma Wage Adjustment'!P30+'Pro Forma Wage Adjustment'!P56+'Pro Forma Wage Adjustment'!P31</f>
        <v>61048.327435994201</v>
      </c>
      <c r="X89" s="192">
        <f>SUM(I89:W89)</f>
        <v>61048.327435994201</v>
      </c>
      <c r="Y89" s="192">
        <f>+G89+X89</f>
        <v>5145122.597435995</v>
      </c>
    </row>
    <row r="90" spans="1:25">
      <c r="A90" s="24">
        <v>83</v>
      </c>
      <c r="B90" s="186" t="s">
        <v>235</v>
      </c>
      <c r="C90" s="187" t="s">
        <v>18</v>
      </c>
      <c r="D90" s="188"/>
      <c r="E90" s="204">
        <v>765092.15</v>
      </c>
      <c r="F90" s="230">
        <v>12975.59</v>
      </c>
      <c r="G90" s="203">
        <f>SUM(E90:F90)</f>
        <v>778067.74</v>
      </c>
      <c r="I90" s="35">
        <f>+'6) Adj Detail'!D22</f>
        <v>47274.32037840251</v>
      </c>
      <c r="K90" s="152">
        <f>+'6) Adj Detail'!F22</f>
        <v>-22087.385302345447</v>
      </c>
      <c r="O90" s="38">
        <f>+'6) Adj Detail'!L22</f>
        <v>758.39417037203009</v>
      </c>
      <c r="S90" s="35">
        <f>'6) Adj Detail'!P22</f>
        <v>-385.54302205501142</v>
      </c>
      <c r="U90" s="35">
        <f>+'6) Adj Detail'!R22</f>
        <v>27705.599619375902</v>
      </c>
      <c r="X90" s="192">
        <f>SUM(I90:W90)</f>
        <v>53265.385843749988</v>
      </c>
      <c r="Y90" s="192">
        <f>+G90+X90</f>
        <v>831333.12584374996</v>
      </c>
    </row>
    <row r="91" spans="1:25">
      <c r="A91" s="168">
        <v>84</v>
      </c>
      <c r="B91" s="186" t="s">
        <v>236</v>
      </c>
      <c r="C91" s="187" t="s">
        <v>237</v>
      </c>
      <c r="D91" s="188"/>
      <c r="E91" s="204">
        <v>0</v>
      </c>
      <c r="F91" s="230">
        <v>795.98</v>
      </c>
      <c r="G91" s="203">
        <f>SUM(E91:F91)</f>
        <v>795.98</v>
      </c>
      <c r="X91" s="192">
        <f>SUM(I91:W91)</f>
        <v>0</v>
      </c>
      <c r="Y91" s="192">
        <f>+G91+X91</f>
        <v>795.98</v>
      </c>
    </row>
    <row r="92" spans="1:25">
      <c r="A92" s="24">
        <v>85</v>
      </c>
      <c r="B92" s="182" t="s">
        <v>238</v>
      </c>
      <c r="C92" s="183"/>
      <c r="D92" s="193"/>
      <c r="E92" s="194">
        <f t="shared" ref="E92:S92" si="45">SUM(E87:E91)</f>
        <v>1710135.32</v>
      </c>
      <c r="F92" s="207">
        <f t="shared" si="45"/>
        <v>4672972.9700000007</v>
      </c>
      <c r="G92" s="196">
        <f t="shared" si="45"/>
        <v>6383108.290000001</v>
      </c>
      <c r="I92" s="196">
        <f t="shared" si="45"/>
        <v>47274.32037840251</v>
      </c>
      <c r="J92" s="196">
        <f t="shared" si="45"/>
        <v>0</v>
      </c>
      <c r="K92" s="197">
        <f>SUM(K87:K91)</f>
        <v>-22087.385302345447</v>
      </c>
      <c r="L92" s="196">
        <f t="shared" si="45"/>
        <v>0</v>
      </c>
      <c r="M92" s="196">
        <f t="shared" si="45"/>
        <v>0</v>
      </c>
      <c r="N92" s="196">
        <f t="shared" si="45"/>
        <v>87064.767914023963</v>
      </c>
      <c r="O92" s="196">
        <f t="shared" si="45"/>
        <v>758.39417037203009</v>
      </c>
      <c r="P92" s="196">
        <f t="shared" si="45"/>
        <v>0</v>
      </c>
      <c r="Q92" s="196">
        <f t="shared" ref="Q92" si="46">SUM(Q87:Q91)</f>
        <v>0</v>
      </c>
      <c r="R92" s="198">
        <f t="shared" si="45"/>
        <v>0</v>
      </c>
      <c r="S92" s="196">
        <f t="shared" si="45"/>
        <v>-385.54302205501142</v>
      </c>
      <c r="T92" s="196">
        <f t="shared" ref="T92" si="47">SUM(T87:T91)</f>
        <v>0</v>
      </c>
      <c r="U92" s="196">
        <f>SUM(U87:U91)</f>
        <v>27705.599619375902</v>
      </c>
      <c r="V92" s="196">
        <f>SUM(V87:V91)</f>
        <v>0</v>
      </c>
      <c r="W92" s="196">
        <f>SUM(W87:W91)</f>
        <v>0</v>
      </c>
      <c r="X92" s="196">
        <f>SUM(X87:X91)</f>
        <v>140330.15375777395</v>
      </c>
      <c r="Y92" s="196">
        <f>SUM(Y87:Y91)</f>
        <v>6523438.4437577752</v>
      </c>
    </row>
    <row r="93" spans="1:25">
      <c r="A93" s="168">
        <v>86</v>
      </c>
      <c r="B93" s="214"/>
      <c r="C93" s="183"/>
      <c r="D93" s="188"/>
      <c r="E93" s="189"/>
      <c r="F93" s="200"/>
      <c r="G93" s="191"/>
    </row>
    <row r="94" spans="1:25">
      <c r="A94" s="24">
        <v>87</v>
      </c>
      <c r="B94" s="182" t="s">
        <v>239</v>
      </c>
      <c r="C94" s="183"/>
      <c r="D94" s="188"/>
      <c r="E94" s="189"/>
      <c r="F94" s="200"/>
      <c r="G94" s="191"/>
    </row>
    <row r="95" spans="1:25">
      <c r="A95" s="168">
        <v>88</v>
      </c>
      <c r="B95" s="186" t="s">
        <v>240</v>
      </c>
      <c r="C95" s="187" t="s">
        <v>230</v>
      </c>
      <c r="D95" s="188"/>
      <c r="E95" s="204">
        <v>0</v>
      </c>
      <c r="F95" s="230" t="s">
        <v>973</v>
      </c>
      <c r="G95" s="203">
        <f>SUM(E95:F95)</f>
        <v>0</v>
      </c>
      <c r="X95" s="192">
        <f>SUM(I95:W95)</f>
        <v>0</v>
      </c>
      <c r="Y95" s="192">
        <f>+G95+X95</f>
        <v>0</v>
      </c>
    </row>
    <row r="96" spans="1:25">
      <c r="A96" s="24">
        <v>89</v>
      </c>
      <c r="B96" s="186" t="s">
        <v>241</v>
      </c>
      <c r="C96" s="187" t="s">
        <v>242</v>
      </c>
      <c r="D96" s="188"/>
      <c r="E96" s="204">
        <v>533408.34</v>
      </c>
      <c r="F96" s="230">
        <v>250785.94</v>
      </c>
      <c r="G96" s="203">
        <f>SUM(E96:F96)</f>
        <v>784194.28</v>
      </c>
      <c r="L96" s="232">
        <f>-'Low-Income Bill Assistance'!F20</f>
        <v>-533333.36</v>
      </c>
      <c r="X96" s="192">
        <f>SUM(I96:W96)</f>
        <v>-533333.36</v>
      </c>
      <c r="Y96" s="192">
        <f>+G96+X96</f>
        <v>250860.92000000004</v>
      </c>
    </row>
    <row r="97" spans="1:25">
      <c r="A97" s="168">
        <v>90</v>
      </c>
      <c r="B97" s="186" t="s">
        <v>243</v>
      </c>
      <c r="C97" s="187" t="s">
        <v>244</v>
      </c>
      <c r="D97" s="188"/>
      <c r="E97" s="204">
        <v>9245.2199999999993</v>
      </c>
      <c r="F97" s="230">
        <v>30656.14</v>
      </c>
      <c r="G97" s="203">
        <f>SUM(E97:F97)</f>
        <v>39901.360000000001</v>
      </c>
      <c r="Y97" s="192">
        <f>+G97+X97</f>
        <v>39901.360000000001</v>
      </c>
    </row>
    <row r="98" spans="1:25">
      <c r="A98" s="24">
        <v>91</v>
      </c>
      <c r="B98" s="233" t="s">
        <v>245</v>
      </c>
      <c r="C98" s="187" t="s">
        <v>246</v>
      </c>
      <c r="D98" s="205"/>
      <c r="E98" s="204">
        <v>0</v>
      </c>
      <c r="F98" s="230" t="s">
        <v>973</v>
      </c>
      <c r="G98" s="206">
        <f>SUM(E98:F98)</f>
        <v>0</v>
      </c>
      <c r="Y98" s="192">
        <f>+G98+X98</f>
        <v>0</v>
      </c>
    </row>
    <row r="99" spans="1:25">
      <c r="A99" s="168">
        <v>92</v>
      </c>
      <c r="B99" s="199" t="s">
        <v>247</v>
      </c>
      <c r="C99" s="183"/>
      <c r="D99" s="193"/>
      <c r="E99" s="194">
        <f t="shared" ref="E99:S99" si="48">SUM(E95:E98)</f>
        <v>542653.55999999994</v>
      </c>
      <c r="F99" s="207">
        <f t="shared" si="48"/>
        <v>281442.08</v>
      </c>
      <c r="G99" s="196">
        <f t="shared" si="48"/>
        <v>824095.64</v>
      </c>
      <c r="I99" s="196">
        <f t="shared" si="48"/>
        <v>0</v>
      </c>
      <c r="J99" s="196">
        <f t="shared" si="48"/>
        <v>0</v>
      </c>
      <c r="K99" s="197">
        <f>SUM(K95:K98)</f>
        <v>0</v>
      </c>
      <c r="L99" s="196">
        <f t="shared" si="48"/>
        <v>-533333.36</v>
      </c>
      <c r="M99" s="196">
        <f t="shared" si="48"/>
        <v>0</v>
      </c>
      <c r="N99" s="196">
        <f t="shared" si="48"/>
        <v>0</v>
      </c>
      <c r="O99" s="196">
        <f t="shared" si="48"/>
        <v>0</v>
      </c>
      <c r="P99" s="196">
        <f t="shared" si="48"/>
        <v>0</v>
      </c>
      <c r="Q99" s="196">
        <f t="shared" ref="Q99" si="49">SUM(Q95:Q98)</f>
        <v>0</v>
      </c>
      <c r="R99" s="198">
        <f t="shared" si="48"/>
        <v>0</v>
      </c>
      <c r="S99" s="196">
        <f t="shared" si="48"/>
        <v>0</v>
      </c>
      <c r="T99" s="196">
        <f t="shared" ref="T99" si="50">SUM(T95:T98)</f>
        <v>0</v>
      </c>
      <c r="U99" s="196">
        <f>SUM(U95:U98)</f>
        <v>0</v>
      </c>
      <c r="V99" s="196">
        <f>SUM(V95:V98)</f>
        <v>0</v>
      </c>
      <c r="W99" s="196">
        <f>SUM(W95:W98)</f>
        <v>0</v>
      </c>
      <c r="X99" s="196">
        <f>SUM(X95:X98)</f>
        <v>-533333.36</v>
      </c>
      <c r="Y99" s="196">
        <f>SUM(Y95:Y98)</f>
        <v>290762.28000000003</v>
      </c>
    </row>
    <row r="100" spans="1:25">
      <c r="A100" s="24">
        <v>93</v>
      </c>
      <c r="B100" s="214"/>
      <c r="C100" s="183"/>
      <c r="D100" s="188"/>
      <c r="E100" s="189"/>
      <c r="F100" s="200"/>
      <c r="G100" s="191"/>
    </row>
    <row r="101" spans="1:25">
      <c r="A101" s="168">
        <v>94</v>
      </c>
      <c r="B101" s="182" t="s">
        <v>248</v>
      </c>
      <c r="C101" s="183"/>
      <c r="D101" s="188"/>
      <c r="E101" s="189"/>
      <c r="F101" s="200"/>
      <c r="G101" s="191"/>
    </row>
    <row r="102" spans="1:25">
      <c r="A102" s="24">
        <v>95</v>
      </c>
      <c r="B102" s="186" t="s">
        <v>249</v>
      </c>
      <c r="C102" s="187" t="s">
        <v>230</v>
      </c>
      <c r="D102" s="205"/>
      <c r="E102" s="204">
        <v>0</v>
      </c>
      <c r="F102" s="190">
        <v>0</v>
      </c>
      <c r="G102" s="206">
        <f>SUM(E102:F102)</f>
        <v>0</v>
      </c>
      <c r="X102" s="192">
        <f>SUM(I102:W102)</f>
        <v>0</v>
      </c>
      <c r="Y102" s="192">
        <f>+G102+X102</f>
        <v>0</v>
      </c>
    </row>
    <row r="103" spans="1:25">
      <c r="A103" s="168">
        <v>96</v>
      </c>
      <c r="B103" s="186" t="s">
        <v>250</v>
      </c>
      <c r="C103" s="187" t="s">
        <v>251</v>
      </c>
      <c r="D103" s="205"/>
      <c r="E103" s="204">
        <v>0</v>
      </c>
      <c r="F103" s="190">
        <v>0</v>
      </c>
      <c r="G103" s="206">
        <f>SUM(E103:F103)</f>
        <v>0</v>
      </c>
      <c r="X103" s="192">
        <f>SUM(I103:W103)</f>
        <v>0</v>
      </c>
      <c r="Y103" s="192">
        <f>+G103+X103</f>
        <v>0</v>
      </c>
    </row>
    <row r="104" spans="1:25">
      <c r="A104" s="24">
        <v>97</v>
      </c>
      <c r="B104" s="186" t="s">
        <v>252</v>
      </c>
      <c r="C104" s="187" t="s">
        <v>51</v>
      </c>
      <c r="D104" s="205"/>
      <c r="E104" s="204">
        <v>20.25</v>
      </c>
      <c r="F104" s="190">
        <v>4896.34</v>
      </c>
      <c r="G104" s="206">
        <f>SUM(E104:F104)</f>
        <v>4916.59</v>
      </c>
      <c r="J104" s="35">
        <f>-'Advertising Adj'!F29</f>
        <v>-4916.5899999999992</v>
      </c>
      <c r="X104" s="192">
        <f>SUM(I104:W104)</f>
        <v>-4916.5899999999992</v>
      </c>
      <c r="Y104" s="192">
        <f>+G104+X104</f>
        <v>0</v>
      </c>
    </row>
    <row r="105" spans="1:25">
      <c r="A105" s="168">
        <v>98</v>
      </c>
      <c r="B105" s="186" t="s">
        <v>253</v>
      </c>
      <c r="C105" s="187" t="s">
        <v>254</v>
      </c>
      <c r="D105" s="205"/>
      <c r="E105" s="204">
        <v>0</v>
      </c>
      <c r="F105" s="190">
        <v>0</v>
      </c>
      <c r="G105" s="206">
        <f>SUM(E105:F105)</f>
        <v>0</v>
      </c>
      <c r="X105" s="192">
        <f>SUM(I105:W105)</f>
        <v>0</v>
      </c>
      <c r="Y105" s="192">
        <f>+G105+X105</f>
        <v>0</v>
      </c>
    </row>
    <row r="106" spans="1:25">
      <c r="A106" s="24">
        <v>99</v>
      </c>
      <c r="B106" s="182" t="s">
        <v>255</v>
      </c>
      <c r="C106" s="183"/>
      <c r="D106" s="217"/>
      <c r="E106" s="218">
        <f t="shared" ref="E106:S106" si="51">SUM(E102:E105)</f>
        <v>20.25</v>
      </c>
      <c r="F106" s="195">
        <f t="shared" si="51"/>
        <v>4896.34</v>
      </c>
      <c r="G106" s="197">
        <f t="shared" si="51"/>
        <v>4916.59</v>
      </c>
      <c r="I106" s="196">
        <f t="shared" si="51"/>
        <v>0</v>
      </c>
      <c r="J106" s="196">
        <f t="shared" si="51"/>
        <v>-4916.5899999999992</v>
      </c>
      <c r="K106" s="197">
        <f>SUM(K102:K105)</f>
        <v>0</v>
      </c>
      <c r="L106" s="196">
        <f t="shared" si="51"/>
        <v>0</v>
      </c>
      <c r="M106" s="196">
        <f t="shared" si="51"/>
        <v>0</v>
      </c>
      <c r="N106" s="196">
        <f t="shared" si="51"/>
        <v>0</v>
      </c>
      <c r="O106" s="196">
        <f t="shared" si="51"/>
        <v>0</v>
      </c>
      <c r="P106" s="196">
        <f t="shared" si="51"/>
        <v>0</v>
      </c>
      <c r="Q106" s="196">
        <f t="shared" ref="Q106" si="52">SUM(Q102:Q105)</f>
        <v>0</v>
      </c>
      <c r="R106" s="198">
        <f t="shared" si="51"/>
        <v>0</v>
      </c>
      <c r="S106" s="196">
        <f t="shared" si="51"/>
        <v>0</v>
      </c>
      <c r="T106" s="196">
        <f t="shared" ref="T106" si="53">SUM(T102:T105)</f>
        <v>0</v>
      </c>
      <c r="U106" s="196">
        <f>SUM(U102:U105)</f>
        <v>0</v>
      </c>
      <c r="V106" s="197">
        <f>SUM(V102:V105)</f>
        <v>0</v>
      </c>
      <c r="W106" s="197">
        <f>SUM(W102:W105)</f>
        <v>0</v>
      </c>
      <c r="X106" s="197">
        <f>SUM(X102:X105)</f>
        <v>-4916.5899999999992</v>
      </c>
      <c r="Y106" s="197">
        <f>SUM(Y102:Y105)</f>
        <v>0</v>
      </c>
    </row>
    <row r="107" spans="1:25">
      <c r="A107" s="168">
        <v>100</v>
      </c>
      <c r="B107" s="214"/>
      <c r="C107" s="183"/>
      <c r="D107" s="188"/>
      <c r="E107" s="189"/>
      <c r="F107" s="200"/>
      <c r="G107" s="191"/>
    </row>
    <row r="108" spans="1:25">
      <c r="A108" s="24">
        <v>101</v>
      </c>
      <c r="B108" s="182" t="s">
        <v>256</v>
      </c>
      <c r="C108" s="183"/>
      <c r="D108" s="188"/>
      <c r="E108" s="189"/>
      <c r="F108" s="200"/>
      <c r="G108" s="191"/>
    </row>
    <row r="109" spans="1:25">
      <c r="A109" s="168">
        <v>102</v>
      </c>
      <c r="B109" s="186" t="s">
        <v>257</v>
      </c>
      <c r="C109" s="187" t="s">
        <v>258</v>
      </c>
      <c r="D109" s="188"/>
      <c r="E109" s="202" t="s">
        <v>974</v>
      </c>
      <c r="F109" s="230">
        <v>5584155.7800000003</v>
      </c>
      <c r="G109" s="203">
        <f t="shared" ref="G109:G119" si="54">SUM(E109:F109)</f>
        <v>5584155.7800000003</v>
      </c>
      <c r="N109" s="228">
        <f>+'Pro Forma Wage Adjustment'!P32+'Pro Forma Wage Adjustment'!P57+'Pro Forma Wage Adjustment'!P33+'Pro Forma Wage Adjustment'!P85</f>
        <v>447508.06402518111</v>
      </c>
      <c r="X109" s="192">
        <f t="shared" ref="X109:X119" si="55">SUM(I109:W109)</f>
        <v>447508.06402518111</v>
      </c>
      <c r="Y109" s="192">
        <f t="shared" ref="Y109:Y119" si="56">+G109+X109</f>
        <v>6031663.8440251816</v>
      </c>
    </row>
    <row r="110" spans="1:25">
      <c r="A110" s="24">
        <v>103</v>
      </c>
      <c r="B110" s="186" t="s">
        <v>259</v>
      </c>
      <c r="C110" s="187" t="s">
        <v>260</v>
      </c>
      <c r="D110" s="188"/>
      <c r="E110" s="202">
        <v>24131.68</v>
      </c>
      <c r="F110" s="230">
        <v>2433731.15</v>
      </c>
      <c r="G110" s="203">
        <f t="shared" si="54"/>
        <v>2457862.83</v>
      </c>
      <c r="N110" s="35">
        <f>+'Pro Forma Wage Adjustment'!P58</f>
        <v>24.404337890712004</v>
      </c>
      <c r="X110" s="192">
        <f t="shared" si="55"/>
        <v>24.404337890712004</v>
      </c>
      <c r="Y110" s="192">
        <f t="shared" si="56"/>
        <v>2457887.234337891</v>
      </c>
    </row>
    <row r="111" spans="1:25">
      <c r="A111" s="168">
        <v>104</v>
      </c>
      <c r="B111" s="186" t="s">
        <v>261</v>
      </c>
      <c r="C111" s="187" t="s">
        <v>262</v>
      </c>
      <c r="D111" s="188"/>
      <c r="E111" s="202">
        <v>162799.32999999999</v>
      </c>
      <c r="F111" s="230">
        <v>834905.63</v>
      </c>
      <c r="G111" s="203">
        <f t="shared" si="54"/>
        <v>997704.96</v>
      </c>
      <c r="P111" s="35">
        <f>+'8) P-4 Rate Case Costs'!I15</f>
        <v>94439.37</v>
      </c>
      <c r="X111" s="192">
        <f t="shared" si="55"/>
        <v>94439.37</v>
      </c>
      <c r="Y111" s="192">
        <f t="shared" si="56"/>
        <v>1092144.33</v>
      </c>
    </row>
    <row r="112" spans="1:25">
      <c r="A112" s="24">
        <v>105</v>
      </c>
      <c r="B112" s="186" t="s">
        <v>263</v>
      </c>
      <c r="C112" s="187" t="s">
        <v>264</v>
      </c>
      <c r="D112" s="188"/>
      <c r="E112" s="204">
        <v>0</v>
      </c>
      <c r="F112" s="230">
        <v>60387.9</v>
      </c>
      <c r="G112" s="203">
        <f t="shared" si="54"/>
        <v>60387.9</v>
      </c>
      <c r="X112" s="192">
        <f t="shared" si="55"/>
        <v>0</v>
      </c>
      <c r="Y112" s="192">
        <f t="shared" si="56"/>
        <v>60387.9</v>
      </c>
    </row>
    <row r="113" spans="1:25">
      <c r="A113" s="168">
        <v>106</v>
      </c>
      <c r="B113" s="186" t="s">
        <v>265</v>
      </c>
      <c r="C113" s="187" t="s">
        <v>266</v>
      </c>
      <c r="D113" s="188"/>
      <c r="E113" s="202">
        <v>59991.79</v>
      </c>
      <c r="F113" s="230">
        <v>1013781.81</v>
      </c>
      <c r="G113" s="203">
        <f t="shared" si="54"/>
        <v>1073773.6000000001</v>
      </c>
      <c r="X113" s="192">
        <f t="shared" si="55"/>
        <v>0</v>
      </c>
      <c r="Y113" s="192">
        <f t="shared" si="56"/>
        <v>1073773.6000000001</v>
      </c>
    </row>
    <row r="114" spans="1:25">
      <c r="A114" s="24">
        <v>107</v>
      </c>
      <c r="B114" s="186" t="s">
        <v>267</v>
      </c>
      <c r="C114" s="187" t="s">
        <v>268</v>
      </c>
      <c r="D114" s="188"/>
      <c r="E114" s="202">
        <v>2462662.3199999998</v>
      </c>
      <c r="F114" s="230">
        <v>2012160.5</v>
      </c>
      <c r="G114" s="203">
        <f t="shared" si="54"/>
        <v>4474822.82</v>
      </c>
      <c r="N114" s="35">
        <f>+'Pro Forma Wage Adjustment'!P59+'Pro Forma Wage Adjustment'!P34</f>
        <v>2878.8452481600621</v>
      </c>
      <c r="Q114" s="35">
        <f>+'Pro Forma Compliance Department'!L16</f>
        <v>82692.896831999999</v>
      </c>
      <c r="X114" s="192">
        <f t="shared" si="55"/>
        <v>85571.742080160067</v>
      </c>
      <c r="Y114" s="192">
        <f t="shared" si="56"/>
        <v>4560394.5620801607</v>
      </c>
    </row>
    <row r="115" spans="1:25">
      <c r="A115" s="168">
        <v>108</v>
      </c>
      <c r="B115" s="186" t="s">
        <v>269</v>
      </c>
      <c r="C115" s="187" t="s">
        <v>270</v>
      </c>
      <c r="D115" s="205"/>
      <c r="E115" s="204">
        <v>0</v>
      </c>
      <c r="F115" s="230">
        <v>0</v>
      </c>
      <c r="G115" s="206">
        <f t="shared" si="54"/>
        <v>0</v>
      </c>
      <c r="X115" s="192">
        <f t="shared" si="55"/>
        <v>0</v>
      </c>
      <c r="Y115" s="192">
        <f t="shared" si="56"/>
        <v>0</v>
      </c>
    </row>
    <row r="116" spans="1:25">
      <c r="A116" s="24">
        <v>109</v>
      </c>
      <c r="B116" s="186" t="s">
        <v>271</v>
      </c>
      <c r="C116" s="187" t="s">
        <v>272</v>
      </c>
      <c r="D116" s="205"/>
      <c r="E116" s="202">
        <v>8395</v>
      </c>
      <c r="F116" s="230">
        <v>41405.449999999997</v>
      </c>
      <c r="G116" s="206">
        <f t="shared" si="54"/>
        <v>49800.45</v>
      </c>
      <c r="J116" s="35">
        <f>-'Advertising Adj'!F75</f>
        <v>-49800.45</v>
      </c>
      <c r="X116" s="192">
        <f t="shared" si="55"/>
        <v>-49800.45</v>
      </c>
      <c r="Y116" s="192">
        <f t="shared" si="56"/>
        <v>0</v>
      </c>
    </row>
    <row r="117" spans="1:25">
      <c r="A117" s="168">
        <v>110</v>
      </c>
      <c r="B117" s="186" t="s">
        <v>273</v>
      </c>
      <c r="C117" s="187" t="s">
        <v>274</v>
      </c>
      <c r="D117" s="188"/>
      <c r="E117" s="204">
        <v>11518.5</v>
      </c>
      <c r="F117" s="230">
        <v>763380.09</v>
      </c>
      <c r="G117" s="203">
        <f t="shared" si="54"/>
        <v>774898.59</v>
      </c>
      <c r="X117" s="192">
        <f t="shared" si="55"/>
        <v>0</v>
      </c>
      <c r="Y117" s="192">
        <f t="shared" si="56"/>
        <v>774898.59</v>
      </c>
    </row>
    <row r="118" spans="1:25">
      <c r="A118" s="24">
        <v>111</v>
      </c>
      <c r="B118" s="186" t="s">
        <v>275</v>
      </c>
      <c r="C118" s="187" t="s">
        <v>205</v>
      </c>
      <c r="D118" s="188"/>
      <c r="E118" s="202">
        <v>494.56</v>
      </c>
      <c r="F118" s="230">
        <v>1238178.95</v>
      </c>
      <c r="G118" s="203">
        <f t="shared" si="54"/>
        <v>1238673.51</v>
      </c>
      <c r="X118" s="192">
        <f t="shared" si="55"/>
        <v>0</v>
      </c>
      <c r="Y118" s="192">
        <f t="shared" si="56"/>
        <v>1238673.51</v>
      </c>
    </row>
    <row r="119" spans="1:25">
      <c r="A119" s="168">
        <v>112</v>
      </c>
      <c r="B119" s="186" t="s">
        <v>276</v>
      </c>
      <c r="C119" s="187" t="s">
        <v>277</v>
      </c>
      <c r="D119" s="220"/>
      <c r="E119" s="234">
        <v>23669.53</v>
      </c>
      <c r="F119" s="235">
        <v>9173.67</v>
      </c>
      <c r="G119" s="236">
        <f t="shared" si="54"/>
        <v>32843.199999999997</v>
      </c>
      <c r="N119" s="35">
        <f>+'Pro Forma Wage Adjustment'!P60</f>
        <v>246.57569978300998</v>
      </c>
      <c r="X119" s="192">
        <f t="shared" si="55"/>
        <v>246.57569978300998</v>
      </c>
      <c r="Y119" s="192">
        <f t="shared" si="56"/>
        <v>33089.775699783007</v>
      </c>
    </row>
    <row r="120" spans="1:25">
      <c r="A120" s="24">
        <v>113</v>
      </c>
      <c r="B120" s="214"/>
      <c r="C120" s="183"/>
      <c r="D120" s="188"/>
      <c r="E120" s="189">
        <f t="shared" ref="E120:S120" si="57">SUM(E109:E119)</f>
        <v>2753662.7099999995</v>
      </c>
      <c r="F120" s="200">
        <f t="shared" si="57"/>
        <v>13991260.93</v>
      </c>
      <c r="G120" s="191">
        <f t="shared" si="57"/>
        <v>16744923.639999999</v>
      </c>
      <c r="I120" s="191">
        <f t="shared" si="57"/>
        <v>0</v>
      </c>
      <c r="J120" s="191">
        <f t="shared" si="57"/>
        <v>-49800.45</v>
      </c>
      <c r="K120" s="206">
        <f>SUM(K109:K119)</f>
        <v>0</v>
      </c>
      <c r="L120" s="191">
        <f t="shared" si="57"/>
        <v>0</v>
      </c>
      <c r="M120" s="191">
        <f t="shared" si="57"/>
        <v>0</v>
      </c>
      <c r="N120" s="191">
        <f t="shared" si="57"/>
        <v>450657.88931101491</v>
      </c>
      <c r="O120" s="191">
        <f t="shared" si="57"/>
        <v>0</v>
      </c>
      <c r="P120" s="191">
        <f t="shared" si="57"/>
        <v>94439.37</v>
      </c>
      <c r="Q120" s="191">
        <f t="shared" ref="Q120" si="58">SUM(Q109:Q119)</f>
        <v>82692.896831999999</v>
      </c>
      <c r="R120" s="219"/>
      <c r="S120" s="191">
        <f t="shared" si="57"/>
        <v>0</v>
      </c>
      <c r="T120" s="191">
        <f t="shared" ref="T120" si="59">SUM(T109:T119)</f>
        <v>0</v>
      </c>
      <c r="U120" s="191">
        <f>SUM(U109:U119)</f>
        <v>0</v>
      </c>
      <c r="V120" s="191">
        <f>SUM(V109:V119)</f>
        <v>0</v>
      </c>
      <c r="W120" s="191">
        <f>SUM(W109:W119)</f>
        <v>0</v>
      </c>
      <c r="X120" s="191">
        <f>SUM(X109:X119)</f>
        <v>577989.70614301506</v>
      </c>
      <c r="Y120" s="191">
        <f>SUM(Y109:Y119)</f>
        <v>17322913.346143018</v>
      </c>
    </row>
    <row r="121" spans="1:25">
      <c r="A121" s="168">
        <v>114</v>
      </c>
      <c r="B121" s="186" t="s">
        <v>278</v>
      </c>
      <c r="C121" s="187" t="s">
        <v>279</v>
      </c>
      <c r="D121" s="188"/>
      <c r="E121" s="202">
        <v>-89655.76</v>
      </c>
      <c r="F121" s="230">
        <v>-195309.92</v>
      </c>
      <c r="G121" s="203">
        <f>SUM(E121:F121)</f>
        <v>-284965.68</v>
      </c>
      <c r="X121" s="192">
        <f>SUM(I121:W121)</f>
        <v>0</v>
      </c>
      <c r="Y121" s="192">
        <f>+G121+X121</f>
        <v>-284965.68</v>
      </c>
    </row>
    <row r="122" spans="1:25">
      <c r="A122" s="24">
        <v>115</v>
      </c>
      <c r="B122" s="182" t="s">
        <v>280</v>
      </c>
      <c r="C122" s="183"/>
      <c r="D122" s="193"/>
      <c r="E122" s="194">
        <f t="shared" ref="E122:S122" si="60">E120+E121</f>
        <v>2664006.9499999997</v>
      </c>
      <c r="F122" s="207">
        <f t="shared" si="60"/>
        <v>13795951.01</v>
      </c>
      <c r="G122" s="196">
        <f t="shared" si="60"/>
        <v>16459957.959999999</v>
      </c>
      <c r="I122" s="196">
        <f t="shared" si="60"/>
        <v>0</v>
      </c>
      <c r="J122" s="196">
        <f t="shared" si="60"/>
        <v>-49800.45</v>
      </c>
      <c r="K122" s="197">
        <f>K120+K121</f>
        <v>0</v>
      </c>
      <c r="L122" s="196">
        <f t="shared" si="60"/>
        <v>0</v>
      </c>
      <c r="M122" s="196">
        <f t="shared" si="60"/>
        <v>0</v>
      </c>
      <c r="N122" s="196">
        <f t="shared" si="60"/>
        <v>450657.88931101491</v>
      </c>
      <c r="O122" s="196">
        <f t="shared" si="60"/>
        <v>0</v>
      </c>
      <c r="P122" s="196">
        <f t="shared" si="60"/>
        <v>94439.37</v>
      </c>
      <c r="Q122" s="196">
        <f t="shared" ref="Q122" si="61">Q120+Q121</f>
        <v>82692.896831999999</v>
      </c>
      <c r="R122" s="198"/>
      <c r="S122" s="196">
        <f t="shared" si="60"/>
        <v>0</v>
      </c>
      <c r="T122" s="196">
        <f t="shared" ref="T122" si="62">T120+T121</f>
        <v>0</v>
      </c>
      <c r="U122" s="196">
        <f>U120+U121</f>
        <v>0</v>
      </c>
      <c r="V122" s="196">
        <f>V120+V121</f>
        <v>0</v>
      </c>
      <c r="W122" s="196">
        <f>W120+W121</f>
        <v>0</v>
      </c>
      <c r="X122" s="196">
        <f>X120+X121</f>
        <v>577989.70614301506</v>
      </c>
      <c r="Y122" s="196">
        <f>Y120+Y121</f>
        <v>17037947.666143019</v>
      </c>
    </row>
    <row r="123" spans="1:25">
      <c r="A123" s="168">
        <v>116</v>
      </c>
      <c r="B123" s="214"/>
      <c r="C123" s="183"/>
      <c r="D123" s="188"/>
      <c r="E123" s="189"/>
      <c r="F123" s="200"/>
      <c r="G123" s="191"/>
    </row>
    <row r="124" spans="1:25" ht="16.5" thickBot="1">
      <c r="A124" s="24">
        <v>117</v>
      </c>
      <c r="B124" s="1247" t="s">
        <v>281</v>
      </c>
      <c r="C124" s="1248"/>
      <c r="D124" s="208">
        <f t="shared" ref="D124:G124" si="63">D84+D92+D99+D106+D122+D56</f>
        <v>0</v>
      </c>
      <c r="E124" s="209">
        <f t="shared" si="63"/>
        <v>18884474.25</v>
      </c>
      <c r="F124" s="210">
        <f t="shared" si="63"/>
        <v>21632870.359999999</v>
      </c>
      <c r="G124" s="211">
        <f t="shared" si="63"/>
        <v>40517344.609999999</v>
      </c>
    </row>
    <row r="125" spans="1:25" ht="16.5" thickTop="1">
      <c r="A125" s="168">
        <v>118</v>
      </c>
      <c r="B125" s="237"/>
      <c r="C125" s="238"/>
      <c r="D125" s="188"/>
      <c r="E125" s="202"/>
      <c r="F125" s="200"/>
      <c r="G125" s="191"/>
    </row>
    <row r="126" spans="1:25">
      <c r="A126" s="24">
        <v>119</v>
      </c>
      <c r="B126" s="182" t="s">
        <v>282</v>
      </c>
      <c r="C126" s="183"/>
      <c r="D126" s="188"/>
      <c r="E126" s="189"/>
      <c r="F126" s="200"/>
      <c r="G126" s="191"/>
    </row>
    <row r="127" spans="1:25">
      <c r="A127" s="168">
        <v>120</v>
      </c>
      <c r="B127" s="186" t="s">
        <v>283</v>
      </c>
      <c r="C127" s="187" t="s">
        <v>284</v>
      </c>
      <c r="D127" s="188"/>
      <c r="E127" s="202">
        <v>0</v>
      </c>
      <c r="F127" s="230">
        <v>19218442.350000001</v>
      </c>
      <c r="G127" s="203">
        <f t="shared" ref="G127:G133" si="64">SUM(E127:F127)</f>
        <v>19218442.350000001</v>
      </c>
      <c r="O127" s="35">
        <f>+'Pro Forma Plant Additions'!E18</f>
        <v>59945.236750000011</v>
      </c>
      <c r="T127" s="35">
        <f>+'CRM Adjustment (a)'!E16</f>
        <v>78010.890174750049</v>
      </c>
      <c r="X127" s="192">
        <f t="shared" ref="X127:X133" si="65">SUM(I127:W127)</f>
        <v>137956.12692475005</v>
      </c>
      <c r="Y127" s="192">
        <f t="shared" ref="Y127:Y133" si="66">+G127+X127</f>
        <v>19356398.476924751</v>
      </c>
    </row>
    <row r="128" spans="1:25">
      <c r="A128" s="24">
        <v>121</v>
      </c>
      <c r="B128" s="214"/>
      <c r="C128" s="187" t="s">
        <v>285</v>
      </c>
      <c r="D128" s="205"/>
      <c r="E128" s="202">
        <v>0</v>
      </c>
      <c r="F128" s="230">
        <v>0</v>
      </c>
      <c r="G128" s="239">
        <f t="shared" si="64"/>
        <v>0</v>
      </c>
      <c r="X128" s="192">
        <f t="shared" si="65"/>
        <v>0</v>
      </c>
      <c r="Y128" s="192">
        <f t="shared" si="66"/>
        <v>0</v>
      </c>
    </row>
    <row r="129" spans="1:27">
      <c r="A129" s="168">
        <v>122</v>
      </c>
      <c r="B129" s="214"/>
      <c r="C129" s="187" t="s">
        <v>286</v>
      </c>
      <c r="D129" s="205"/>
      <c r="E129" s="202">
        <v>0</v>
      </c>
      <c r="F129" s="230">
        <v>0</v>
      </c>
      <c r="G129" s="239">
        <f t="shared" si="64"/>
        <v>0</v>
      </c>
      <c r="X129" s="192">
        <f t="shared" si="65"/>
        <v>0</v>
      </c>
      <c r="Y129" s="192">
        <f t="shared" si="66"/>
        <v>0</v>
      </c>
    </row>
    <row r="130" spans="1:27">
      <c r="A130" s="24">
        <v>123</v>
      </c>
      <c r="B130" s="214"/>
      <c r="C130" s="187" t="s">
        <v>287</v>
      </c>
      <c r="D130" s="188"/>
      <c r="E130" s="240">
        <v>0</v>
      </c>
      <c r="F130" s="230">
        <v>0</v>
      </c>
      <c r="G130" s="203">
        <f t="shared" si="64"/>
        <v>0</v>
      </c>
      <c r="X130" s="192">
        <f t="shared" si="65"/>
        <v>0</v>
      </c>
      <c r="Y130" s="192">
        <f t="shared" si="66"/>
        <v>0</v>
      </c>
    </row>
    <row r="131" spans="1:27">
      <c r="A131" s="168">
        <v>124</v>
      </c>
      <c r="B131" s="214"/>
      <c r="C131" s="187" t="s">
        <v>288</v>
      </c>
      <c r="D131" s="205"/>
      <c r="E131" s="202">
        <v>0</v>
      </c>
      <c r="F131" s="230">
        <v>0</v>
      </c>
      <c r="G131" s="239">
        <f t="shared" si="64"/>
        <v>0</v>
      </c>
      <c r="X131" s="192">
        <f t="shared" si="65"/>
        <v>0</v>
      </c>
      <c r="Y131" s="192">
        <f t="shared" si="66"/>
        <v>0</v>
      </c>
    </row>
    <row r="132" spans="1:27">
      <c r="A132" s="24">
        <v>125</v>
      </c>
      <c r="B132" s="214"/>
      <c r="C132" s="187" t="s">
        <v>289</v>
      </c>
      <c r="D132" s="205"/>
      <c r="E132" s="202">
        <v>0</v>
      </c>
      <c r="F132" s="230">
        <v>0</v>
      </c>
      <c r="G132" s="239">
        <f t="shared" si="64"/>
        <v>0</v>
      </c>
      <c r="X132" s="192">
        <f t="shared" si="65"/>
        <v>0</v>
      </c>
      <c r="Y132" s="192">
        <f t="shared" si="66"/>
        <v>0</v>
      </c>
    </row>
    <row r="133" spans="1:27">
      <c r="A133" s="168">
        <v>126</v>
      </c>
      <c r="B133" s="186" t="s">
        <v>290</v>
      </c>
      <c r="C133" s="187" t="s">
        <v>291</v>
      </c>
      <c r="D133" s="205"/>
      <c r="E133" s="202">
        <v>0</v>
      </c>
      <c r="F133" s="230">
        <v>0</v>
      </c>
      <c r="G133" s="239">
        <f t="shared" si="64"/>
        <v>0</v>
      </c>
      <c r="X133" s="192">
        <f t="shared" si="65"/>
        <v>0</v>
      </c>
      <c r="Y133" s="192">
        <f t="shared" si="66"/>
        <v>0</v>
      </c>
    </row>
    <row r="134" spans="1:27">
      <c r="A134" s="24">
        <v>127</v>
      </c>
      <c r="B134" s="182" t="s">
        <v>292</v>
      </c>
      <c r="C134" s="183"/>
      <c r="D134" s="193"/>
      <c r="E134" s="194">
        <f t="shared" ref="E134:T134" si="67">SUM(E127:E133)</f>
        <v>0</v>
      </c>
      <c r="F134" s="207">
        <f t="shared" si="67"/>
        <v>19218442.350000001</v>
      </c>
      <c r="G134" s="196">
        <f t="shared" si="67"/>
        <v>19218442.350000001</v>
      </c>
      <c r="I134" s="196">
        <f t="shared" si="67"/>
        <v>0</v>
      </c>
      <c r="J134" s="196">
        <f t="shared" si="67"/>
        <v>0</v>
      </c>
      <c r="K134" s="197">
        <f>SUM(K127:K133)</f>
        <v>0</v>
      </c>
      <c r="L134" s="196">
        <f t="shared" si="67"/>
        <v>0</v>
      </c>
      <c r="M134" s="196">
        <f t="shared" si="67"/>
        <v>0</v>
      </c>
      <c r="N134" s="196">
        <f t="shared" si="67"/>
        <v>0</v>
      </c>
      <c r="O134" s="196">
        <f t="shared" si="67"/>
        <v>59945.236750000011</v>
      </c>
      <c r="P134" s="196">
        <f t="shared" si="67"/>
        <v>0</v>
      </c>
      <c r="Q134" s="196"/>
      <c r="R134" s="198">
        <f t="shared" si="67"/>
        <v>0</v>
      </c>
      <c r="S134" s="196">
        <f t="shared" si="67"/>
        <v>0</v>
      </c>
      <c r="T134" s="196">
        <f t="shared" si="67"/>
        <v>78010.890174750049</v>
      </c>
      <c r="U134" s="196">
        <f>SUM(U127:U133)</f>
        <v>0</v>
      </c>
      <c r="V134" s="196">
        <f>SUM(V127:V133)</f>
        <v>0</v>
      </c>
      <c r="W134" s="196">
        <f>SUM(W127:W133)</f>
        <v>0</v>
      </c>
      <c r="X134" s="196">
        <f>SUM(X127:X133)</f>
        <v>137956.12692475005</v>
      </c>
      <c r="Y134" s="196">
        <f>SUM(Y127:Y133)</f>
        <v>19356398.476924751</v>
      </c>
    </row>
    <row r="135" spans="1:27">
      <c r="A135" s="168">
        <v>128</v>
      </c>
      <c r="B135" s="214"/>
      <c r="C135" s="183"/>
      <c r="D135" s="188"/>
      <c r="E135" s="189"/>
      <c r="F135" s="200"/>
      <c r="G135" s="191"/>
    </row>
    <row r="136" spans="1:27">
      <c r="A136" s="24">
        <v>129</v>
      </c>
      <c r="B136" s="201" t="s">
        <v>293</v>
      </c>
      <c r="C136" s="183" t="s">
        <v>31</v>
      </c>
      <c r="D136" s="205"/>
      <c r="E136" s="204">
        <v>0</v>
      </c>
      <c r="F136" s="190">
        <v>0</v>
      </c>
      <c r="G136" s="206">
        <f>SUM(E136:F136)</f>
        <v>0</v>
      </c>
    </row>
    <row r="137" spans="1:27">
      <c r="A137" s="168">
        <v>130</v>
      </c>
      <c r="B137" s="214"/>
      <c r="C137" s="183"/>
      <c r="D137" s="188"/>
      <c r="E137" s="189"/>
      <c r="F137" s="200"/>
      <c r="G137" s="191"/>
      <c r="X137" s="192">
        <f>SUM(I137:W137)</f>
        <v>0</v>
      </c>
      <c r="Y137" s="192">
        <f>+G137+X137</f>
        <v>0</v>
      </c>
    </row>
    <row r="138" spans="1:27">
      <c r="A138" s="24">
        <v>131</v>
      </c>
      <c r="B138" s="182" t="s">
        <v>294</v>
      </c>
      <c r="C138" s="183"/>
      <c r="D138" s="188"/>
      <c r="E138" s="189"/>
      <c r="F138" s="200"/>
      <c r="G138" s="191"/>
    </row>
    <row r="139" spans="1:27">
      <c r="A139" s="168">
        <v>132</v>
      </c>
      <c r="B139" s="186" t="s">
        <v>295</v>
      </c>
      <c r="C139" s="187" t="s">
        <v>296</v>
      </c>
      <c r="D139" s="220"/>
      <c r="E139" s="221">
        <v>3209664.98</v>
      </c>
      <c r="F139" s="231">
        <v>885968.83</v>
      </c>
      <c r="G139" s="223">
        <f>SUM(E139:F139)</f>
        <v>4095633.81</v>
      </c>
      <c r="N139" s="35">
        <f>+'Pro Forma Wage Adjustment'!P17</f>
        <v>82922.448313984569</v>
      </c>
      <c r="O139" s="35">
        <f>+'Pro Forma Plant Additions'!E12</f>
        <v>56020.878573717193</v>
      </c>
      <c r="Q139" s="35">
        <f>+'Pro Forma Compliance Department'!L17</f>
        <v>13138.982496639999</v>
      </c>
      <c r="X139" s="192">
        <f>SUM(I139:W139)</f>
        <v>152082.30938434176</v>
      </c>
      <c r="Y139" s="192">
        <f>+G139+X139</f>
        <v>4247716.1193843419</v>
      </c>
    </row>
    <row r="140" spans="1:27">
      <c r="A140" s="24">
        <v>133</v>
      </c>
      <c r="B140" s="214"/>
      <c r="C140" s="183"/>
      <c r="D140" s="188"/>
      <c r="E140" s="189"/>
      <c r="F140" s="200"/>
      <c r="G140" s="191"/>
    </row>
    <row r="141" spans="1:27">
      <c r="A141" s="168">
        <v>134</v>
      </c>
      <c r="B141" s="182" t="s">
        <v>297</v>
      </c>
      <c r="C141" s="183"/>
      <c r="D141" s="188"/>
      <c r="E141" s="189"/>
      <c r="F141" s="200"/>
      <c r="G141" s="191"/>
    </row>
    <row r="142" spans="1:27">
      <c r="A142" s="24">
        <v>135</v>
      </c>
      <c r="B142" s="241" t="s">
        <v>298</v>
      </c>
      <c r="C142" s="242" t="s">
        <v>299</v>
      </c>
      <c r="D142" s="205"/>
      <c r="E142" s="204">
        <v>3159842.45</v>
      </c>
      <c r="F142" s="190">
        <v>0</v>
      </c>
      <c r="G142" s="206">
        <f t="shared" ref="G142:G147" si="68">SUM(E142:F142)</f>
        <v>3159842.45</v>
      </c>
      <c r="I142" s="35">
        <f>+'6) Adj Detail'!D29</f>
        <v>1316405.7631083794</v>
      </c>
      <c r="J142" s="35">
        <f>+'6) Adj Detail'!E29</f>
        <v>19151.463999999996</v>
      </c>
      <c r="K142" s="152">
        <f>+'6) Adj Detail'!F29</f>
        <v>-838661.52984188625</v>
      </c>
      <c r="L142" s="35">
        <f>+'6) Adj Detail'!G29</f>
        <v>186666.67599999998</v>
      </c>
      <c r="M142" s="35">
        <f>+'6) Adj Detail'!J29</f>
        <v>387344.30741478695</v>
      </c>
      <c r="N142" s="35">
        <f>+'6) Adj Detail'!K29</f>
        <v>-233944.11138413457</v>
      </c>
      <c r="O142" s="35">
        <f>+'6) Adj Detail'!L29</f>
        <v>26291.18228726877</v>
      </c>
      <c r="P142" s="35">
        <f>+'6) Adj Detail'!M29</f>
        <v>-33053.779499999997</v>
      </c>
      <c r="Q142" s="35">
        <f>+'6) Adj Detail'!N29</f>
        <v>-97857.855301023999</v>
      </c>
      <c r="R142" s="151">
        <f>+'6) Adj Detail'!O29</f>
        <v>-148297.83499999999</v>
      </c>
      <c r="S142" s="35">
        <f>+'6) Adj Detail'!P29</f>
        <v>-33999.280552280747</v>
      </c>
      <c r="T142" s="35">
        <f>+'6) Adj Detail'!Q29</f>
        <v>-27303.811561162514</v>
      </c>
      <c r="U142" s="35">
        <f>+'6) Adj Detail'!R29</f>
        <v>2443230.4579329626</v>
      </c>
      <c r="V142" s="48"/>
      <c r="X142" s="192">
        <f t="shared" ref="X142:X147" si="69">SUM(I142:W142)</f>
        <v>2965971.6476029097</v>
      </c>
      <c r="Y142" s="192">
        <f t="shared" ref="Y142:Y147" si="70">+G142+X142</f>
        <v>6125814.0976029094</v>
      </c>
      <c r="Z142" s="192">
        <f>+Y142+Y144</f>
        <v>7157728.2876029089</v>
      </c>
      <c r="AA142" s="4">
        <f>-Z142/0.35*0.14</f>
        <v>-2863091.3150411639</v>
      </c>
    </row>
    <row r="143" spans="1:27">
      <c r="A143" s="168">
        <v>136</v>
      </c>
      <c r="B143" s="241" t="s">
        <v>298</v>
      </c>
      <c r="C143" s="242" t="s">
        <v>300</v>
      </c>
      <c r="D143" s="205"/>
      <c r="E143" s="204">
        <v>0</v>
      </c>
      <c r="F143" s="190">
        <v>0</v>
      </c>
      <c r="G143" s="206">
        <f t="shared" si="68"/>
        <v>0</v>
      </c>
      <c r="X143" s="192">
        <f t="shared" si="69"/>
        <v>0</v>
      </c>
      <c r="Y143" s="192">
        <f t="shared" si="70"/>
        <v>0</v>
      </c>
    </row>
    <row r="144" spans="1:27">
      <c r="A144" s="24">
        <v>137</v>
      </c>
      <c r="B144" s="241" t="s">
        <v>301</v>
      </c>
      <c r="C144" s="242" t="s">
        <v>302</v>
      </c>
      <c r="D144" s="205"/>
      <c r="E144" s="204">
        <v>1031914.19</v>
      </c>
      <c r="F144" s="190">
        <v>0</v>
      </c>
      <c r="G144" s="206">
        <f t="shared" si="68"/>
        <v>1031914.19</v>
      </c>
      <c r="X144" s="192">
        <f t="shared" si="69"/>
        <v>0</v>
      </c>
      <c r="Y144" s="192">
        <f t="shared" si="70"/>
        <v>1031914.19</v>
      </c>
    </row>
    <row r="145" spans="1:25">
      <c r="A145" s="168">
        <v>138</v>
      </c>
      <c r="B145" s="241" t="s">
        <v>301</v>
      </c>
      <c r="C145" s="242" t="s">
        <v>303</v>
      </c>
      <c r="D145" s="205"/>
      <c r="E145" s="204">
        <v>0</v>
      </c>
      <c r="F145" s="190">
        <v>0</v>
      </c>
      <c r="G145" s="206">
        <f t="shared" si="68"/>
        <v>0</v>
      </c>
      <c r="X145" s="192">
        <f t="shared" si="69"/>
        <v>0</v>
      </c>
      <c r="Y145" s="192">
        <f t="shared" si="70"/>
        <v>0</v>
      </c>
    </row>
    <row r="146" spans="1:25">
      <c r="A146" s="24">
        <v>139</v>
      </c>
      <c r="B146" s="241" t="s">
        <v>304</v>
      </c>
      <c r="C146" s="242" t="s">
        <v>305</v>
      </c>
      <c r="D146" s="205"/>
      <c r="E146" s="204">
        <v>0</v>
      </c>
      <c r="F146" s="190">
        <v>0</v>
      </c>
      <c r="G146" s="206">
        <f t="shared" si="68"/>
        <v>0</v>
      </c>
      <c r="X146" s="192">
        <f t="shared" si="69"/>
        <v>0</v>
      </c>
      <c r="Y146" s="192">
        <f t="shared" si="70"/>
        <v>0</v>
      </c>
    </row>
    <row r="147" spans="1:25">
      <c r="A147" s="168">
        <v>140</v>
      </c>
      <c r="B147" s="241" t="s">
        <v>306</v>
      </c>
      <c r="C147" s="242" t="s">
        <v>307</v>
      </c>
      <c r="D147" s="188"/>
      <c r="E147" s="204">
        <v>0</v>
      </c>
      <c r="F147" s="190">
        <v>-37382.410000000003</v>
      </c>
      <c r="G147" s="203">
        <f t="shared" si="68"/>
        <v>-37382.410000000003</v>
      </c>
      <c r="X147" s="192">
        <f t="shared" si="69"/>
        <v>0</v>
      </c>
      <c r="Y147" s="192">
        <f t="shared" si="70"/>
        <v>-37382.410000000003</v>
      </c>
    </row>
    <row r="148" spans="1:25">
      <c r="A148" s="24">
        <v>141</v>
      </c>
      <c r="B148" s="182" t="s">
        <v>308</v>
      </c>
      <c r="C148" s="183"/>
      <c r="D148" s="193"/>
      <c r="E148" s="194">
        <f t="shared" ref="E148:G148" si="71">SUM(E142:E147)</f>
        <v>4191756.64</v>
      </c>
      <c r="F148" s="207">
        <f t="shared" si="71"/>
        <v>-37382.410000000003</v>
      </c>
      <c r="G148" s="196">
        <f t="shared" si="71"/>
        <v>4154374.23</v>
      </c>
      <c r="I148" s="196">
        <f t="shared" ref="I148:P148" si="72">SUM(I142:I147)</f>
        <v>1316405.7631083794</v>
      </c>
      <c r="J148" s="196">
        <f t="shared" si="72"/>
        <v>19151.463999999996</v>
      </c>
      <c r="K148" s="197">
        <f>SUM(K142:K147)</f>
        <v>-838661.52984188625</v>
      </c>
      <c r="L148" s="196">
        <f>SUM(L142:L147)</f>
        <v>186666.67599999998</v>
      </c>
      <c r="M148" s="196">
        <f t="shared" si="72"/>
        <v>387344.30741478695</v>
      </c>
      <c r="N148" s="196">
        <f t="shared" si="72"/>
        <v>-233944.11138413457</v>
      </c>
      <c r="O148" s="196">
        <f t="shared" si="72"/>
        <v>26291.18228726877</v>
      </c>
      <c r="P148" s="196">
        <f t="shared" si="72"/>
        <v>-33053.779499999997</v>
      </c>
      <c r="Q148" s="196">
        <f t="shared" ref="Q148" si="73">SUM(Q142:Q147)</f>
        <v>-97857.855301023999</v>
      </c>
      <c r="R148" s="198">
        <f t="shared" ref="R148:Y148" si="74">SUM(R142:R147)</f>
        <v>-148297.83499999999</v>
      </c>
      <c r="S148" s="196">
        <f t="shared" si="74"/>
        <v>-33999.280552280747</v>
      </c>
      <c r="T148" s="196">
        <f t="shared" ref="T148" si="75">SUM(T142:T147)</f>
        <v>-27303.811561162514</v>
      </c>
      <c r="U148" s="196">
        <f t="shared" si="74"/>
        <v>2443230.4579329626</v>
      </c>
      <c r="V148" s="196">
        <f t="shared" si="74"/>
        <v>0</v>
      </c>
      <c r="W148" s="196">
        <f t="shared" si="74"/>
        <v>0</v>
      </c>
      <c r="X148" s="196">
        <f t="shared" si="74"/>
        <v>2965971.6476029097</v>
      </c>
      <c r="Y148" s="196">
        <f t="shared" si="74"/>
        <v>7120345.8776029088</v>
      </c>
    </row>
    <row r="149" spans="1:25">
      <c r="A149" s="168">
        <v>142</v>
      </c>
      <c r="B149" s="182" t="s">
        <v>309</v>
      </c>
      <c r="C149" s="183"/>
      <c r="D149" s="188"/>
      <c r="E149" s="189">
        <f t="shared" ref="E149:G149" si="76">E84+E92+E99+E106+E122+E134+E136+E139+E148+E56</f>
        <v>26285895.870000001</v>
      </c>
      <c r="F149" s="200">
        <f t="shared" si="76"/>
        <v>41699899.130000003</v>
      </c>
      <c r="G149" s="191">
        <f t="shared" si="76"/>
        <v>67985795</v>
      </c>
      <c r="I149" s="191">
        <f t="shared" ref="I149:P149" si="77">I84+I92+I99+I106+I122+I134+I136+I139+I148+I56</f>
        <v>1363680.0834867819</v>
      </c>
      <c r="J149" s="191">
        <f t="shared" si="77"/>
        <v>-35565.576000000001</v>
      </c>
      <c r="K149" s="206">
        <f>K84+K92+K99+K106+K122+K134+K136+K139+K148+K56</f>
        <v>-860748.91514423175</v>
      </c>
      <c r="L149" s="191">
        <f>L84+L92+L99+L106+L122+L134+L136+L139+L148+L56</f>
        <v>-346666.68400000001</v>
      </c>
      <c r="M149" s="191">
        <f t="shared" si="77"/>
        <v>387344.30741478695</v>
      </c>
      <c r="N149" s="191">
        <f t="shared" si="77"/>
        <v>1203891.4922536744</v>
      </c>
      <c r="O149" s="191">
        <f t="shared" si="77"/>
        <v>143015.69178135801</v>
      </c>
      <c r="P149" s="191">
        <f t="shared" si="77"/>
        <v>61385.590499999998</v>
      </c>
      <c r="Q149" s="191">
        <f t="shared" ref="Q149" si="78">Q84+Q92+Q99+Q106+Q122+Q134+Q136+Q139+Q148+Q56</f>
        <v>181736.01698761602</v>
      </c>
      <c r="R149" s="219">
        <f t="shared" ref="R149:Y149" si="79">R84+R92+R99+R106+R122+R134+R136+R139+R148+R56</f>
        <v>810788.99900000007</v>
      </c>
      <c r="S149" s="191">
        <f t="shared" si="79"/>
        <v>-34384.823574335758</v>
      </c>
      <c r="T149" s="191">
        <f t="shared" ref="T149" si="80">T84+T92+T99+T106+T122+T134+T136+T139+T148+T56</f>
        <v>50707.078613587539</v>
      </c>
      <c r="U149" s="191">
        <f t="shared" si="79"/>
        <v>2470936.0575523386</v>
      </c>
      <c r="V149" s="191">
        <f t="shared" si="79"/>
        <v>0</v>
      </c>
      <c r="W149" s="191">
        <f t="shared" si="79"/>
        <v>0</v>
      </c>
      <c r="X149" s="191">
        <f t="shared" si="79"/>
        <v>5396119.3188715773</v>
      </c>
      <c r="Y149" s="191">
        <f t="shared" si="79"/>
        <v>73381914.318871588</v>
      </c>
    </row>
    <row r="150" spans="1:25" ht="16.5" thickBot="1">
      <c r="A150" s="24">
        <v>143</v>
      </c>
      <c r="B150" s="182" t="s">
        <v>310</v>
      </c>
      <c r="C150" s="183"/>
      <c r="D150" s="243">
        <f t="shared" ref="D150:G150" si="81">D53-D149</f>
        <v>0</v>
      </c>
      <c r="E150" s="244">
        <f t="shared" si="81"/>
        <v>58213090.219999999</v>
      </c>
      <c r="F150" s="245">
        <f t="shared" si="81"/>
        <v>-41608428.039999999</v>
      </c>
      <c r="G150" s="246">
        <f t="shared" si="81"/>
        <v>16604662.180000007</v>
      </c>
      <c r="I150" s="246">
        <f t="shared" ref="I150:P150" si="82">I53-I149</f>
        <v>3551696.3577484176</v>
      </c>
      <c r="J150" s="246">
        <f t="shared" si="82"/>
        <v>35565.576000000001</v>
      </c>
      <c r="K150" s="247">
        <f>K53-K149</f>
        <v>-1599376.6393503305</v>
      </c>
      <c r="L150" s="246">
        <f>L53-L149</f>
        <v>346666.68400000001</v>
      </c>
      <c r="M150" s="246">
        <f t="shared" si="82"/>
        <v>-387344.30741478695</v>
      </c>
      <c r="N150" s="246">
        <f t="shared" si="82"/>
        <v>-1203891.4922536744</v>
      </c>
      <c r="O150" s="246">
        <f t="shared" si="82"/>
        <v>-151117.41860935802</v>
      </c>
      <c r="P150" s="246">
        <f t="shared" si="82"/>
        <v>-61385.590499999998</v>
      </c>
      <c r="Q150" s="246">
        <f t="shared" ref="Q150" si="83">Q53-Q149</f>
        <v>-181736.01698761602</v>
      </c>
      <c r="R150" s="248">
        <f t="shared" ref="R150:Y150" si="84">R53-R149</f>
        <v>-810788.99900000007</v>
      </c>
      <c r="S150" s="246">
        <f t="shared" si="84"/>
        <v>-63141.521025664239</v>
      </c>
      <c r="T150" s="246">
        <f t="shared" ref="T150" si="85">T53-T149</f>
        <v>-50707.078613587539</v>
      </c>
      <c r="U150" s="246">
        <f t="shared" si="84"/>
        <v>2453183.2584722769</v>
      </c>
      <c r="V150" s="246">
        <f t="shared" si="84"/>
        <v>0</v>
      </c>
      <c r="W150" s="246">
        <f t="shared" si="84"/>
        <v>0</v>
      </c>
      <c r="X150" s="246">
        <f t="shared" si="84"/>
        <v>1877622.8124656742</v>
      </c>
      <c r="Y150" s="246">
        <f t="shared" si="84"/>
        <v>18482284.992465675</v>
      </c>
    </row>
    <row r="151" spans="1:25" ht="16.5" thickTop="1">
      <c r="A151" s="168">
        <v>144</v>
      </c>
      <c r="B151" s="214"/>
      <c r="C151" s="183"/>
      <c r="D151" s="188"/>
      <c r="E151" s="189"/>
      <c r="F151" s="200"/>
      <c r="G151" s="191"/>
      <c r="Y151" s="249"/>
    </row>
    <row r="152" spans="1:25">
      <c r="A152" s="24">
        <v>145</v>
      </c>
      <c r="B152" s="182" t="s">
        <v>311</v>
      </c>
      <c r="C152" s="183"/>
      <c r="D152" s="188"/>
      <c r="E152" s="189"/>
      <c r="F152" s="200"/>
      <c r="G152" s="191"/>
    </row>
    <row r="153" spans="1:25">
      <c r="A153" s="168">
        <v>146</v>
      </c>
      <c r="B153" s="186" t="s">
        <v>77</v>
      </c>
      <c r="C153" s="187" t="s">
        <v>312</v>
      </c>
      <c r="D153" s="188"/>
      <c r="E153" s="240">
        <v>0</v>
      </c>
      <c r="F153" s="230">
        <v>8531170.2699999996</v>
      </c>
      <c r="G153" s="203">
        <f t="shared" ref="G153:G158" si="86">SUM(E153:F153)</f>
        <v>8531170.2699999996</v>
      </c>
    </row>
    <row r="154" spans="1:25">
      <c r="A154" s="24">
        <v>147</v>
      </c>
      <c r="B154" s="186" t="s">
        <v>78</v>
      </c>
      <c r="C154" s="187" t="s">
        <v>79</v>
      </c>
      <c r="D154" s="188"/>
      <c r="E154" s="240">
        <v>0</v>
      </c>
      <c r="F154" s="230">
        <v>131614.6</v>
      </c>
      <c r="G154" s="203">
        <f t="shared" si="86"/>
        <v>131614.6</v>
      </c>
    </row>
    <row r="155" spans="1:25">
      <c r="A155" s="168">
        <v>148</v>
      </c>
      <c r="B155" s="186" t="s">
        <v>80</v>
      </c>
      <c r="C155" s="187" t="s">
        <v>81</v>
      </c>
      <c r="D155" s="188"/>
      <c r="E155" s="240">
        <v>0</v>
      </c>
      <c r="F155" s="230">
        <v>31363.08</v>
      </c>
      <c r="G155" s="203">
        <f t="shared" si="86"/>
        <v>31363.08</v>
      </c>
    </row>
    <row r="156" spans="1:25">
      <c r="A156" s="24">
        <v>149</v>
      </c>
      <c r="B156" s="186" t="s">
        <v>313</v>
      </c>
      <c r="C156" s="187" t="s">
        <v>314</v>
      </c>
      <c r="D156" s="188"/>
      <c r="E156" s="202">
        <v>228343.44</v>
      </c>
      <c r="F156" s="250">
        <v>0</v>
      </c>
      <c r="G156" s="203">
        <f t="shared" si="86"/>
        <v>228343.44</v>
      </c>
    </row>
    <row r="157" spans="1:25">
      <c r="A157" s="168">
        <v>150</v>
      </c>
      <c r="B157" s="186" t="s">
        <v>315</v>
      </c>
      <c r="C157" s="187" t="s">
        <v>316</v>
      </c>
      <c r="D157" s="188"/>
      <c r="E157" s="240">
        <v>0</v>
      </c>
      <c r="F157" s="230">
        <v>48641.16</v>
      </c>
      <c r="G157" s="203">
        <f t="shared" si="86"/>
        <v>48641.16</v>
      </c>
    </row>
    <row r="158" spans="1:25">
      <c r="A158" s="24">
        <v>151</v>
      </c>
      <c r="B158" s="186" t="s">
        <v>317</v>
      </c>
      <c r="C158" s="187" t="s">
        <v>318</v>
      </c>
      <c r="D158" s="188"/>
      <c r="E158" s="202">
        <v>-170469.52</v>
      </c>
      <c r="F158" s="250">
        <v>-48651.29</v>
      </c>
      <c r="G158" s="203">
        <f t="shared" si="86"/>
        <v>-219120.81</v>
      </c>
    </row>
    <row r="159" spans="1:25">
      <c r="A159" s="168">
        <v>152</v>
      </c>
      <c r="B159" s="182" t="s">
        <v>319</v>
      </c>
      <c r="C159" s="183"/>
      <c r="D159" s="193"/>
      <c r="E159" s="194">
        <f t="shared" ref="E159:G159" si="87">SUM(E153:E158)</f>
        <v>57873.920000000013</v>
      </c>
      <c r="F159" s="207">
        <f t="shared" si="87"/>
        <v>8694137.8200000003</v>
      </c>
      <c r="G159" s="196">
        <f t="shared" si="87"/>
        <v>8752011.7399999984</v>
      </c>
    </row>
    <row r="160" spans="1:25">
      <c r="A160" s="24">
        <v>153</v>
      </c>
      <c r="B160" s="214"/>
      <c r="C160" s="183"/>
      <c r="D160" s="188"/>
      <c r="E160" s="189"/>
      <c r="F160" s="200"/>
      <c r="G160" s="191"/>
    </row>
    <row r="161" spans="1:11">
      <c r="A161" s="168">
        <v>154</v>
      </c>
      <c r="B161" s="182" t="s">
        <v>320</v>
      </c>
      <c r="C161" s="183"/>
      <c r="D161" s="188"/>
      <c r="E161" s="189"/>
      <c r="F161" s="200"/>
      <c r="G161" s="191"/>
    </row>
    <row r="162" spans="1:11">
      <c r="A162" s="24">
        <v>155</v>
      </c>
      <c r="B162" s="186" t="s">
        <v>321</v>
      </c>
      <c r="C162" s="187" t="s">
        <v>322</v>
      </c>
      <c r="D162" s="205"/>
      <c r="E162" s="204">
        <v>0</v>
      </c>
      <c r="F162" s="190">
        <v>0</v>
      </c>
      <c r="G162" s="206">
        <f t="shared" ref="G162:G171" si="88">SUM(E162:F162)</f>
        <v>0</v>
      </c>
    </row>
    <row r="163" spans="1:11">
      <c r="A163" s="168">
        <v>156</v>
      </c>
      <c r="B163" s="186" t="s">
        <v>323</v>
      </c>
      <c r="C163" s="187" t="s">
        <v>324</v>
      </c>
      <c r="D163" s="205"/>
      <c r="E163" s="204">
        <v>0</v>
      </c>
      <c r="F163" s="190">
        <v>0</v>
      </c>
      <c r="G163" s="206">
        <f t="shared" si="88"/>
        <v>0</v>
      </c>
    </row>
    <row r="164" spans="1:11">
      <c r="A164" s="24">
        <v>157</v>
      </c>
      <c r="B164" s="186" t="s">
        <v>325</v>
      </c>
      <c r="C164" s="187" t="s">
        <v>326</v>
      </c>
      <c r="D164" s="188"/>
      <c r="E164" s="204">
        <v>0</v>
      </c>
      <c r="F164" s="190">
        <v>4723.75</v>
      </c>
      <c r="G164" s="203">
        <f t="shared" si="88"/>
        <v>4723.75</v>
      </c>
    </row>
    <row r="165" spans="1:11">
      <c r="A165" s="168">
        <v>158</v>
      </c>
      <c r="B165" s="186" t="s">
        <v>327</v>
      </c>
      <c r="C165" s="187" t="s">
        <v>328</v>
      </c>
      <c r="D165" s="205"/>
      <c r="E165" s="204">
        <v>0</v>
      </c>
      <c r="F165" s="190">
        <v>0</v>
      </c>
      <c r="G165" s="239">
        <f t="shared" si="88"/>
        <v>0</v>
      </c>
    </row>
    <row r="166" spans="1:11">
      <c r="A166" s="24">
        <v>159</v>
      </c>
      <c r="B166" s="186" t="s">
        <v>329</v>
      </c>
      <c r="C166" s="187" t="s">
        <v>330</v>
      </c>
      <c r="D166" s="205"/>
      <c r="E166" s="204">
        <v>0</v>
      </c>
      <c r="F166" s="190">
        <v>0</v>
      </c>
      <c r="G166" s="239">
        <f t="shared" si="88"/>
        <v>0</v>
      </c>
    </row>
    <row r="167" spans="1:11">
      <c r="A167" s="168">
        <v>160</v>
      </c>
      <c r="B167" s="186" t="s">
        <v>331</v>
      </c>
      <c r="C167" s="187" t="s">
        <v>332</v>
      </c>
      <c r="D167" s="188"/>
      <c r="E167" s="204">
        <v>410490.43</v>
      </c>
      <c r="F167" s="190">
        <v>64724.44</v>
      </c>
      <c r="G167" s="203">
        <f t="shared" si="88"/>
        <v>475214.87</v>
      </c>
    </row>
    <row r="168" spans="1:11">
      <c r="A168" s="24">
        <v>161</v>
      </c>
      <c r="B168" s="186" t="s">
        <v>333</v>
      </c>
      <c r="C168" s="187" t="s">
        <v>334</v>
      </c>
      <c r="D168" s="205"/>
      <c r="E168" s="204">
        <v>215722.3</v>
      </c>
      <c r="F168" s="190">
        <v>61602.75</v>
      </c>
      <c r="G168" s="239">
        <f t="shared" si="88"/>
        <v>277325.05</v>
      </c>
    </row>
    <row r="169" spans="1:11">
      <c r="A169" s="168">
        <v>162</v>
      </c>
      <c r="B169" s="251">
        <v>408.2</v>
      </c>
      <c r="C169" s="187" t="s">
        <v>335</v>
      </c>
      <c r="D169" s="205"/>
      <c r="E169" s="204">
        <v>-3164.36</v>
      </c>
      <c r="F169" s="190">
        <v>0</v>
      </c>
      <c r="G169" s="239">
        <f t="shared" si="88"/>
        <v>-3164.36</v>
      </c>
    </row>
    <row r="170" spans="1:11">
      <c r="A170" s="24">
        <v>163</v>
      </c>
      <c r="B170" s="186" t="s">
        <v>336</v>
      </c>
      <c r="C170" s="187" t="s">
        <v>337</v>
      </c>
      <c r="D170" s="188"/>
      <c r="E170" s="204">
        <v>0</v>
      </c>
      <c r="F170" s="190">
        <v>13297.52</v>
      </c>
      <c r="G170" s="203">
        <f t="shared" si="88"/>
        <v>13297.52</v>
      </c>
    </row>
    <row r="171" spans="1:11">
      <c r="A171" s="168">
        <v>164</v>
      </c>
      <c r="B171" s="186" t="s">
        <v>338</v>
      </c>
      <c r="C171" s="187" t="s">
        <v>643</v>
      </c>
      <c r="D171" s="188"/>
      <c r="E171" s="204">
        <v>0</v>
      </c>
      <c r="F171" s="190">
        <v>0</v>
      </c>
      <c r="G171" s="203">
        <f t="shared" si="88"/>
        <v>0</v>
      </c>
    </row>
    <row r="172" spans="1:11">
      <c r="A172" s="24">
        <v>165</v>
      </c>
      <c r="B172" s="182" t="s">
        <v>339</v>
      </c>
      <c r="C172" s="183"/>
      <c r="D172" s="193"/>
      <c r="E172" s="194">
        <f t="shared" ref="E172:G172" si="89">SUM(E162:E171)</f>
        <v>623048.37</v>
      </c>
      <c r="F172" s="207">
        <f t="shared" si="89"/>
        <v>144348.46</v>
      </c>
      <c r="G172" s="196">
        <f t="shared" si="89"/>
        <v>767396.83</v>
      </c>
    </row>
    <row r="173" spans="1:11">
      <c r="A173" s="168">
        <v>166</v>
      </c>
      <c r="B173" s="214"/>
      <c r="C173" s="183"/>
      <c r="D173" s="188"/>
      <c r="E173" s="189"/>
      <c r="F173" s="200"/>
      <c r="G173" s="191"/>
    </row>
    <row r="174" spans="1:11">
      <c r="A174" s="24">
        <v>167</v>
      </c>
      <c r="B174" s="252" t="s">
        <v>340</v>
      </c>
      <c r="C174" s="238"/>
      <c r="D174" s="188"/>
      <c r="E174" s="189"/>
      <c r="F174" s="200"/>
      <c r="G174" s="191"/>
    </row>
    <row r="175" spans="1:11">
      <c r="A175" s="168">
        <v>168</v>
      </c>
      <c r="B175" s="253" t="s">
        <v>341</v>
      </c>
      <c r="C175" s="254" t="s">
        <v>342</v>
      </c>
      <c r="D175" s="188"/>
      <c r="E175" s="202">
        <v>0</v>
      </c>
      <c r="F175" s="230">
        <v>-142375.35</v>
      </c>
      <c r="G175" s="203">
        <f t="shared" ref="G175:G184" si="90">SUM(E175:F175)</f>
        <v>-142375.35</v>
      </c>
      <c r="I175" s="35">
        <f>+F175/0.35</f>
        <v>-406786.71428571432</v>
      </c>
      <c r="J175" s="35">
        <f>+I175*0.14</f>
        <v>-56950.140000000007</v>
      </c>
      <c r="K175" s="152">
        <f>+G175-J175</f>
        <v>-85425.209999999992</v>
      </c>
    </row>
    <row r="176" spans="1:11">
      <c r="A176" s="24">
        <v>169</v>
      </c>
      <c r="B176" s="253" t="s">
        <v>341</v>
      </c>
      <c r="C176" s="254" t="s">
        <v>343</v>
      </c>
      <c r="D176" s="205"/>
      <c r="E176" s="204">
        <v>0</v>
      </c>
      <c r="F176" s="230">
        <v>0</v>
      </c>
      <c r="G176" s="206">
        <f t="shared" si="90"/>
        <v>0</v>
      </c>
    </row>
    <row r="177" spans="1:7">
      <c r="A177" s="168">
        <v>170</v>
      </c>
      <c r="B177" s="253" t="s">
        <v>344</v>
      </c>
      <c r="C177" s="254" t="s">
        <v>345</v>
      </c>
      <c r="D177" s="205"/>
      <c r="E177" s="204">
        <v>0</v>
      </c>
      <c r="F177" s="230">
        <v>0</v>
      </c>
      <c r="G177" s="206">
        <f t="shared" si="90"/>
        <v>0</v>
      </c>
    </row>
    <row r="178" spans="1:7">
      <c r="A178" s="24">
        <v>171</v>
      </c>
      <c r="B178" s="253" t="s">
        <v>346</v>
      </c>
      <c r="C178" s="254" t="s">
        <v>347</v>
      </c>
      <c r="D178" s="205"/>
      <c r="E178" s="204">
        <v>0</v>
      </c>
      <c r="F178" s="230">
        <v>0</v>
      </c>
      <c r="G178" s="206">
        <f t="shared" si="90"/>
        <v>0</v>
      </c>
    </row>
    <row r="179" spans="1:7">
      <c r="A179" s="168">
        <v>172</v>
      </c>
      <c r="B179" s="186" t="s">
        <v>348</v>
      </c>
      <c r="C179" s="187" t="s">
        <v>349</v>
      </c>
      <c r="D179" s="205"/>
      <c r="E179" s="204">
        <v>0</v>
      </c>
      <c r="F179" s="230">
        <v>0</v>
      </c>
      <c r="G179" s="206">
        <f t="shared" si="90"/>
        <v>0</v>
      </c>
    </row>
    <row r="180" spans="1:7">
      <c r="A180" s="24">
        <v>173</v>
      </c>
      <c r="B180" s="186" t="s">
        <v>350</v>
      </c>
      <c r="C180" s="187" t="s">
        <v>351</v>
      </c>
      <c r="D180" s="188"/>
      <c r="E180" s="202">
        <v>20309.150000000001</v>
      </c>
      <c r="F180" s="230">
        <v>146508.03</v>
      </c>
      <c r="G180" s="203">
        <f t="shared" si="90"/>
        <v>166817.18</v>
      </c>
    </row>
    <row r="181" spans="1:7">
      <c r="A181" s="168">
        <v>174</v>
      </c>
      <c r="B181" s="186" t="s">
        <v>352</v>
      </c>
      <c r="C181" s="187" t="s">
        <v>353</v>
      </c>
      <c r="D181" s="205"/>
      <c r="E181" s="204">
        <v>0</v>
      </c>
      <c r="F181" s="230">
        <v>0</v>
      </c>
      <c r="G181" s="206">
        <f t="shared" si="90"/>
        <v>0</v>
      </c>
    </row>
    <row r="182" spans="1:7">
      <c r="A182" s="24">
        <v>175</v>
      </c>
      <c r="B182" s="186" t="s">
        <v>354</v>
      </c>
      <c r="C182" s="187" t="s">
        <v>355</v>
      </c>
      <c r="D182" s="205"/>
      <c r="E182" s="204">
        <v>1000000</v>
      </c>
      <c r="F182" s="230">
        <v>891.05</v>
      </c>
      <c r="G182" s="206">
        <f t="shared" si="90"/>
        <v>1000891.05</v>
      </c>
    </row>
    <row r="183" spans="1:7">
      <c r="A183" s="168">
        <v>176</v>
      </c>
      <c r="B183" s="186" t="s">
        <v>356</v>
      </c>
      <c r="C183" s="187" t="s">
        <v>357</v>
      </c>
      <c r="D183" s="188"/>
      <c r="E183" s="202">
        <v>0</v>
      </c>
      <c r="F183" s="230">
        <v>96498.880000000005</v>
      </c>
      <c r="G183" s="203">
        <f t="shared" si="90"/>
        <v>96498.880000000005</v>
      </c>
    </row>
    <row r="184" spans="1:7">
      <c r="A184" s="24">
        <v>177</v>
      </c>
      <c r="B184" s="186" t="s">
        <v>358</v>
      </c>
      <c r="C184" s="187" t="s">
        <v>359</v>
      </c>
      <c r="D184" s="205"/>
      <c r="E184" s="204">
        <v>805</v>
      </c>
      <c r="F184" s="230">
        <v>475.5</v>
      </c>
      <c r="G184" s="206">
        <f t="shared" si="90"/>
        <v>1280.5</v>
      </c>
    </row>
    <row r="185" spans="1:7">
      <c r="A185" s="168">
        <v>178</v>
      </c>
      <c r="B185" s="182" t="s">
        <v>360</v>
      </c>
      <c r="C185" s="183"/>
      <c r="D185" s="193"/>
      <c r="E185" s="194">
        <f t="shared" ref="E185:G185" si="91">SUM(E175:E184)</f>
        <v>1021114.15</v>
      </c>
      <c r="F185" s="207">
        <f t="shared" si="91"/>
        <v>101998.11</v>
      </c>
      <c r="G185" s="196">
        <f t="shared" si="91"/>
        <v>1123112.26</v>
      </c>
    </row>
    <row r="186" spans="1:7" ht="16.5" thickBot="1">
      <c r="A186" s="24">
        <v>179</v>
      </c>
      <c r="B186" s="255" t="s">
        <v>361</v>
      </c>
      <c r="C186" s="256"/>
      <c r="D186" s="243">
        <f>D150-D159-D172-D185</f>
        <v>0</v>
      </c>
      <c r="E186" s="244">
        <f>E150-E159+E172-E185</f>
        <v>57757150.519999996</v>
      </c>
      <c r="F186" s="245">
        <f t="shared" ref="F186:G186" si="92">F150-F159+F172-F185</f>
        <v>-50260215.509999998</v>
      </c>
      <c r="G186" s="246">
        <f t="shared" si="92"/>
        <v>7496935.0100000091</v>
      </c>
    </row>
    <row r="187" spans="1:7" ht="16.5" thickTop="1"/>
  </sheetData>
  <mergeCells count="20">
    <mergeCell ref="B13:C13"/>
    <mergeCell ref="B124:C124"/>
    <mergeCell ref="B11:C12"/>
    <mergeCell ref="E11:G11"/>
    <mergeCell ref="E12:G12"/>
    <mergeCell ref="C1:G1"/>
    <mergeCell ref="C2:G2"/>
    <mergeCell ref="C3:G3"/>
    <mergeCell ref="C4:G4"/>
    <mergeCell ref="C5:G5"/>
    <mergeCell ref="K1:O1"/>
    <mergeCell ref="K2:O2"/>
    <mergeCell ref="K3:O3"/>
    <mergeCell ref="K4:O4"/>
    <mergeCell ref="K5:O5"/>
    <mergeCell ref="S1:W1"/>
    <mergeCell ref="S2:W2"/>
    <mergeCell ref="S3:W3"/>
    <mergeCell ref="S4:W4"/>
    <mergeCell ref="S5:W5"/>
  </mergeCells>
  <printOptions horizontalCentered="1"/>
  <pageMargins left="0.7" right="0.7" top="0.75" bottom="0.75" header="0.3" footer="0.3"/>
  <pageSetup scale="76" fitToHeight="0" orientation="landscape" r:id="rId1"/>
  <headerFooter scaleWithDoc="0" alignWithMargins="0">
    <oddHeader>&amp;RPage &amp;P of &amp;N</oddHeader>
    <oddFooter>&amp;LElectronic Tab Name:&amp;A&amp;R&amp;"Times New Roman,Regular"&amp;9 26678.897\4829-5163-7600.v1</oddFooter>
  </headerFooter>
  <rowBreaks count="1" manualBreakCount="1">
    <brk id="157" max="7" man="1"/>
  </rowBreaks>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9"/>
  <sheetViews>
    <sheetView workbookViewId="0">
      <selection activeCell="D18" sqref="D18"/>
    </sheetView>
  </sheetViews>
  <sheetFormatPr defaultColWidth="9.140625" defaultRowHeight="15.75"/>
  <cols>
    <col min="1" max="1" width="8.42578125" style="4" bestFit="1" customWidth="1"/>
    <col min="2" max="2" width="37.5703125" style="4" bestFit="1" customWidth="1"/>
    <col min="3" max="3" width="3.85546875" style="4" customWidth="1"/>
    <col min="4" max="4" width="17.7109375" style="4" bestFit="1" customWidth="1"/>
    <col min="5" max="6" width="9.140625" style="4"/>
    <col min="7" max="7" width="15.42578125" style="4" customWidth="1"/>
    <col min="8" max="16384" width="9.140625" style="4"/>
  </cols>
  <sheetData>
    <row r="1" spans="1:6">
      <c r="B1" s="1244" t="s">
        <v>53</v>
      </c>
      <c r="C1" s="1244"/>
      <c r="D1" s="1244"/>
      <c r="E1" s="1244"/>
      <c r="F1" s="1244"/>
    </row>
    <row r="2" spans="1:6">
      <c r="B2" s="1244" t="s">
        <v>1659</v>
      </c>
      <c r="C2" s="1244"/>
      <c r="D2" s="1244"/>
      <c r="E2" s="1244"/>
      <c r="F2" s="1244"/>
    </row>
    <row r="3" spans="1:6">
      <c r="B3" s="1244" t="s">
        <v>1662</v>
      </c>
      <c r="C3" s="1244"/>
      <c r="D3" s="1244"/>
      <c r="E3" s="1244"/>
      <c r="F3" s="1244"/>
    </row>
    <row r="4" spans="1:6">
      <c r="B4" s="1244" t="s">
        <v>35</v>
      </c>
      <c r="C4" s="1244"/>
      <c r="D4" s="1244"/>
      <c r="E4" s="1244"/>
      <c r="F4" s="1244"/>
    </row>
    <row r="5" spans="1:6">
      <c r="B5" s="1244" t="s">
        <v>971</v>
      </c>
      <c r="C5" s="1244"/>
      <c r="D5" s="1244"/>
      <c r="E5" s="1244"/>
      <c r="F5" s="1244"/>
    </row>
    <row r="9" spans="1:6">
      <c r="A9" s="13" t="s">
        <v>1686</v>
      </c>
      <c r="B9" s="6" t="s">
        <v>1689</v>
      </c>
      <c r="C9" s="6"/>
      <c r="D9" s="6" t="s">
        <v>1687</v>
      </c>
    </row>
    <row r="10" spans="1:6">
      <c r="A10" s="6">
        <v>1</v>
      </c>
      <c r="D10" s="6" t="s">
        <v>365</v>
      </c>
    </row>
    <row r="11" spans="1:6">
      <c r="A11" s="6">
        <v>2</v>
      </c>
      <c r="D11" s="6" t="s">
        <v>366</v>
      </c>
    </row>
    <row r="12" spans="1:6">
      <c r="A12" s="6">
        <v>3</v>
      </c>
      <c r="D12" s="6" t="s">
        <v>975</v>
      </c>
    </row>
    <row r="13" spans="1:6">
      <c r="A13" s="6">
        <v>4</v>
      </c>
      <c r="B13" s="4" t="s">
        <v>1884</v>
      </c>
      <c r="D13" s="35">
        <f>+'Plant in Serv &amp; Accum Depr'!AF147</f>
        <v>677314165.18981874</v>
      </c>
      <c r="E13" s="4" t="s">
        <v>1936</v>
      </c>
    </row>
    <row r="14" spans="1:6">
      <c r="A14" s="6">
        <v>5</v>
      </c>
      <c r="B14" s="4" t="s">
        <v>1885</v>
      </c>
      <c r="D14" s="257">
        <f>-'Plant in Serv &amp; Accum Depr'!AF153</f>
        <v>-345424354.83661753</v>
      </c>
      <c r="E14" s="4" t="s">
        <v>1936</v>
      </c>
    </row>
    <row r="15" spans="1:6">
      <c r="A15" s="6">
        <v>6</v>
      </c>
      <c r="B15" s="4" t="s">
        <v>362</v>
      </c>
      <c r="D15" s="88">
        <f>+D13+D14</f>
        <v>331889810.35320121</v>
      </c>
    </row>
    <row r="16" spans="1:6">
      <c r="A16" s="6">
        <v>7</v>
      </c>
      <c r="B16" s="4" t="s">
        <v>1886</v>
      </c>
      <c r="D16" s="88">
        <f>+'Adv for Const. &amp; Def Tax'!AX23</f>
        <v>-3771590.387083333</v>
      </c>
      <c r="E16" s="4" t="s">
        <v>1937</v>
      </c>
    </row>
    <row r="17" spans="1:8">
      <c r="A17" s="6">
        <v>8</v>
      </c>
      <c r="B17" s="4" t="s">
        <v>1887</v>
      </c>
      <c r="D17" s="258">
        <f>+'Adv for Const. &amp; Def Tax'!AX30</f>
        <v>-73667038.139583334</v>
      </c>
      <c r="E17" s="4" t="s">
        <v>1937</v>
      </c>
    </row>
    <row r="18" spans="1:8">
      <c r="A18" s="6">
        <v>9</v>
      </c>
      <c r="B18" s="4" t="s">
        <v>1888</v>
      </c>
      <c r="D18" s="259">
        <f>+'Working Capital'!E44</f>
        <v>25610869.595646363</v>
      </c>
      <c r="E18" s="4" t="s">
        <v>1938</v>
      </c>
    </row>
    <row r="19" spans="1:8">
      <c r="A19" s="6">
        <v>10</v>
      </c>
      <c r="B19" s="4" t="s">
        <v>1889</v>
      </c>
      <c r="D19" s="260">
        <f>+D15+D16+D17+D18</f>
        <v>280062051.42218089</v>
      </c>
      <c r="H19" s="17"/>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Name:&amp;A&amp;R&amp;"Times New Roman,Regular"&amp;9 26678.897\4829-5163-7600.v1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153"/>
  <sheetViews>
    <sheetView view="pageBreakPreview" topLeftCell="A136" zoomScale="70" zoomScaleNormal="100" zoomScaleSheetLayoutView="70" workbookViewId="0">
      <selection activeCell="A3" sqref="A3:H3"/>
    </sheetView>
  </sheetViews>
  <sheetFormatPr defaultColWidth="9.140625" defaultRowHeight="15.75"/>
  <cols>
    <col min="1" max="1" width="9.28515625" style="24" bestFit="1" customWidth="1"/>
    <col min="2" max="2" width="17.7109375" style="4" customWidth="1"/>
    <col min="3" max="3" width="36.7109375" style="4" bestFit="1" customWidth="1"/>
    <col min="4" max="4" width="19.28515625" style="4" customWidth="1"/>
    <col min="5" max="5" width="27" style="4" bestFit="1" customWidth="1"/>
    <col min="6" max="6" width="20.140625" style="4" bestFit="1" customWidth="1"/>
    <col min="7" max="7" width="27.7109375" style="4" bestFit="1" customWidth="1"/>
    <col min="8" max="11" width="28.28515625" style="4" bestFit="1" customWidth="1"/>
    <col min="12" max="12" width="27" style="4" bestFit="1" customWidth="1"/>
    <col min="13" max="13" width="27.7109375" style="4" bestFit="1" customWidth="1"/>
    <col min="14" max="15" width="28.28515625" style="4" bestFit="1" customWidth="1"/>
    <col min="16" max="16" width="27.7109375" style="4" bestFit="1" customWidth="1"/>
    <col min="17" max="18" width="28.28515625" style="4" bestFit="1" customWidth="1"/>
    <col min="19" max="20" width="27.7109375" style="4" bestFit="1" customWidth="1"/>
    <col min="21" max="21" width="28.28515625" style="4" bestFit="1" customWidth="1"/>
    <col min="22" max="22" width="27.7109375" style="4" bestFit="1" customWidth="1"/>
    <col min="23" max="25" width="28.28515625" style="4" bestFit="1" customWidth="1"/>
    <col min="26" max="26" width="27" style="4" bestFit="1" customWidth="1"/>
    <col min="27" max="28" width="28.28515625" style="4" bestFit="1" customWidth="1"/>
    <col min="29" max="29" width="27.7109375" style="4" bestFit="1" customWidth="1"/>
    <col min="30" max="30" width="28.28515625" style="4" bestFit="1" customWidth="1"/>
    <col min="31" max="31" width="28.85546875" style="4" bestFit="1" customWidth="1"/>
    <col min="32" max="32" width="35.85546875" style="4" bestFit="1" customWidth="1"/>
    <col min="33" max="16384" width="9.140625" style="4"/>
  </cols>
  <sheetData>
    <row r="1" spans="1:35">
      <c r="A1" s="1244" t="s">
        <v>53</v>
      </c>
      <c r="B1" s="1244"/>
      <c r="C1" s="1244"/>
      <c r="D1" s="1244"/>
      <c r="E1" s="1244"/>
      <c r="F1" s="1244"/>
      <c r="G1" s="1244"/>
      <c r="J1" s="1244" t="s">
        <v>53</v>
      </c>
      <c r="K1" s="1244"/>
      <c r="L1" s="1244"/>
      <c r="M1" s="3"/>
      <c r="N1" s="3"/>
      <c r="O1" s="3"/>
      <c r="R1" s="1244" t="s">
        <v>53</v>
      </c>
      <c r="S1" s="1244"/>
      <c r="T1" s="3"/>
      <c r="U1" s="3"/>
      <c r="V1" s="3"/>
      <c r="W1" s="3"/>
      <c r="Y1" s="1244" t="s">
        <v>53</v>
      </c>
      <c r="Z1" s="1244"/>
      <c r="AA1" s="1244"/>
      <c r="AB1" s="3"/>
      <c r="AC1" s="3"/>
      <c r="AD1" s="3"/>
      <c r="AE1" s="27" t="s">
        <v>53</v>
      </c>
      <c r="AF1" s="3"/>
      <c r="AG1" s="3"/>
      <c r="AH1" s="3"/>
      <c r="AI1" s="3"/>
    </row>
    <row r="2" spans="1:35">
      <c r="A2" s="1244" t="s">
        <v>1659</v>
      </c>
      <c r="B2" s="1244"/>
      <c r="C2" s="1244"/>
      <c r="D2" s="1244"/>
      <c r="E2" s="1244"/>
      <c r="F2" s="1244"/>
      <c r="G2" s="1244"/>
      <c r="J2" s="1244" t="s">
        <v>1659</v>
      </c>
      <c r="K2" s="1244"/>
      <c r="L2" s="1244"/>
      <c r="M2" s="3"/>
      <c r="N2" s="3"/>
      <c r="O2" s="3"/>
      <c r="R2" s="1244" t="s">
        <v>1659</v>
      </c>
      <c r="S2" s="1244"/>
      <c r="T2" s="3"/>
      <c r="U2" s="3"/>
      <c r="V2" s="3"/>
      <c r="W2" s="3"/>
      <c r="X2" s="6"/>
      <c r="Y2" s="1244" t="s">
        <v>1659</v>
      </c>
      <c r="Z2" s="1244"/>
      <c r="AA2" s="1244"/>
      <c r="AB2" s="3"/>
      <c r="AC2" s="3"/>
      <c r="AD2" s="6"/>
      <c r="AE2" s="27" t="s">
        <v>1659</v>
      </c>
      <c r="AF2" s="3"/>
      <c r="AG2" s="3"/>
      <c r="AH2" s="3"/>
      <c r="AI2" s="3"/>
    </row>
    <row r="3" spans="1:35">
      <c r="A3" s="1244" t="s">
        <v>1663</v>
      </c>
      <c r="B3" s="1244"/>
      <c r="C3" s="1244"/>
      <c r="D3" s="1244"/>
      <c r="E3" s="1244"/>
      <c r="F3" s="1244"/>
      <c r="G3" s="1244"/>
      <c r="J3" s="1244" t="s">
        <v>1663</v>
      </c>
      <c r="K3" s="1244"/>
      <c r="L3" s="1244"/>
      <c r="M3" s="3"/>
      <c r="N3" s="3"/>
      <c r="O3" s="3"/>
      <c r="R3" s="1244" t="s">
        <v>1663</v>
      </c>
      <c r="S3" s="1244"/>
      <c r="T3" s="3"/>
      <c r="U3" s="3"/>
      <c r="V3" s="3"/>
      <c r="W3" s="3"/>
      <c r="X3" s="6"/>
      <c r="Y3" s="1244" t="s">
        <v>1663</v>
      </c>
      <c r="Z3" s="1244"/>
      <c r="AA3" s="1244"/>
      <c r="AB3" s="3"/>
      <c r="AC3" s="3"/>
      <c r="AD3" s="6"/>
      <c r="AE3" s="27" t="s">
        <v>1663</v>
      </c>
      <c r="AF3" s="3"/>
      <c r="AG3" s="3"/>
      <c r="AH3" s="3"/>
      <c r="AI3" s="3"/>
    </row>
    <row r="4" spans="1:35">
      <c r="A4" s="1244" t="s">
        <v>1999</v>
      </c>
      <c r="B4" s="1244"/>
      <c r="C4" s="1244"/>
      <c r="D4" s="1244"/>
      <c r="E4" s="1244"/>
      <c r="F4" s="1244"/>
      <c r="G4" s="1244"/>
      <c r="J4" s="1244" t="s">
        <v>1999</v>
      </c>
      <c r="K4" s="1244"/>
      <c r="L4" s="1244"/>
      <c r="M4" s="3"/>
      <c r="N4" s="3"/>
      <c r="O4" s="3"/>
      <c r="R4" s="1244" t="s">
        <v>1999</v>
      </c>
      <c r="S4" s="1244"/>
      <c r="T4" s="3"/>
      <c r="U4" s="3"/>
      <c r="V4" s="3"/>
      <c r="W4" s="3"/>
      <c r="Y4" s="1244" t="s">
        <v>1999</v>
      </c>
      <c r="Z4" s="1244"/>
      <c r="AA4" s="1244"/>
      <c r="AB4" s="3"/>
      <c r="AC4" s="3"/>
      <c r="AD4" s="3"/>
      <c r="AE4" s="27" t="s">
        <v>1999</v>
      </c>
      <c r="AF4" s="3"/>
      <c r="AG4" s="3"/>
      <c r="AH4" s="3"/>
      <c r="AI4" s="3"/>
    </row>
    <row r="5" spans="1:35">
      <c r="A5" s="1244" t="s">
        <v>971</v>
      </c>
      <c r="B5" s="1244"/>
      <c r="C5" s="1244"/>
      <c r="D5" s="1244"/>
      <c r="E5" s="1244"/>
      <c r="F5" s="1244"/>
      <c r="G5" s="1244"/>
      <c r="J5" s="1244" t="s">
        <v>971</v>
      </c>
      <c r="K5" s="1244"/>
      <c r="L5" s="1244"/>
      <c r="M5" s="3"/>
      <c r="N5" s="3"/>
      <c r="O5" s="3"/>
      <c r="R5" s="1244" t="s">
        <v>971</v>
      </c>
      <c r="S5" s="1244"/>
      <c r="T5" s="3"/>
      <c r="U5" s="3"/>
      <c r="V5" s="3"/>
      <c r="W5" s="3"/>
      <c r="Y5" s="1244" t="s">
        <v>971</v>
      </c>
      <c r="Z5" s="1244"/>
      <c r="AA5" s="1244"/>
      <c r="AB5" s="3"/>
      <c r="AC5" s="3"/>
      <c r="AE5" s="27" t="s">
        <v>971</v>
      </c>
      <c r="AF5" s="3"/>
      <c r="AG5" s="3"/>
      <c r="AH5" s="3"/>
      <c r="AI5" s="3"/>
    </row>
    <row r="7" spans="1:35" s="24" customFormat="1">
      <c r="B7" s="24" t="s">
        <v>1689</v>
      </c>
      <c r="C7" s="24" t="s">
        <v>1687</v>
      </c>
      <c r="D7" s="24" t="s">
        <v>1688</v>
      </c>
      <c r="E7" s="24" t="s">
        <v>1691</v>
      </c>
      <c r="F7" s="24" t="s">
        <v>1692</v>
      </c>
      <c r="G7" s="24" t="s">
        <v>1701</v>
      </c>
      <c r="H7" s="24" t="s">
        <v>1702</v>
      </c>
      <c r="I7" s="24" t="s">
        <v>1703</v>
      </c>
      <c r="J7" s="24" t="s">
        <v>1704</v>
      </c>
      <c r="K7" s="24" t="s">
        <v>1705</v>
      </c>
      <c r="L7" s="24" t="s">
        <v>1706</v>
      </c>
      <c r="M7" s="24" t="s">
        <v>1707</v>
      </c>
      <c r="N7" s="24" t="s">
        <v>1708</v>
      </c>
      <c r="O7" s="24" t="s">
        <v>1709</v>
      </c>
      <c r="P7" s="24" t="s">
        <v>1710</v>
      </c>
      <c r="Q7" s="24" t="s">
        <v>1984</v>
      </c>
      <c r="R7" s="24" t="s">
        <v>1985</v>
      </c>
      <c r="S7" s="24" t="s">
        <v>1986</v>
      </c>
      <c r="T7" s="24" t="s">
        <v>1987</v>
      </c>
      <c r="U7" s="24" t="s">
        <v>1988</v>
      </c>
      <c r="V7" s="24" t="s">
        <v>1989</v>
      </c>
      <c r="W7" s="24" t="s">
        <v>1990</v>
      </c>
      <c r="X7" s="24" t="s">
        <v>1991</v>
      </c>
      <c r="Y7" s="24" t="s">
        <v>1992</v>
      </c>
      <c r="Z7" s="24" t="s">
        <v>1993</v>
      </c>
      <c r="AA7" s="24" t="s">
        <v>1994</v>
      </c>
      <c r="AB7" s="24" t="s">
        <v>1167</v>
      </c>
      <c r="AC7" s="24" t="s">
        <v>1995</v>
      </c>
      <c r="AD7" s="24" t="s">
        <v>1996</v>
      </c>
      <c r="AE7" s="24" t="s">
        <v>1997</v>
      </c>
      <c r="AF7" s="24" t="s">
        <v>1998</v>
      </c>
    </row>
    <row r="8" spans="1:35">
      <c r="A8" s="24" t="s">
        <v>879</v>
      </c>
      <c r="B8" s="261" t="s">
        <v>1720</v>
      </c>
      <c r="C8" s="261" t="s">
        <v>1721</v>
      </c>
      <c r="D8" s="261" t="s">
        <v>71</v>
      </c>
      <c r="E8" s="261" t="s">
        <v>1722</v>
      </c>
      <c r="F8" s="261" t="s">
        <v>1723</v>
      </c>
      <c r="G8" s="261" t="s">
        <v>1724</v>
      </c>
      <c r="H8" s="261" t="s">
        <v>1725</v>
      </c>
      <c r="I8" s="261" t="s">
        <v>1726</v>
      </c>
      <c r="J8" s="261" t="s">
        <v>1727</v>
      </c>
      <c r="K8" s="261" t="s">
        <v>1728</v>
      </c>
      <c r="L8" s="261" t="s">
        <v>1729</v>
      </c>
      <c r="M8" s="261" t="s">
        <v>1730</v>
      </c>
      <c r="N8" s="261" t="s">
        <v>1731</v>
      </c>
      <c r="O8" s="261" t="s">
        <v>1732</v>
      </c>
      <c r="P8" s="261" t="s">
        <v>1733</v>
      </c>
      <c r="Q8" s="261" t="s">
        <v>1734</v>
      </c>
      <c r="R8" s="261" t="s">
        <v>1735</v>
      </c>
      <c r="S8" s="261" t="s">
        <v>1736</v>
      </c>
      <c r="T8" s="261" t="s">
        <v>1737</v>
      </c>
      <c r="U8" s="261" t="s">
        <v>1738</v>
      </c>
      <c r="V8" s="261" t="s">
        <v>1739</v>
      </c>
      <c r="W8" s="261" t="s">
        <v>1740</v>
      </c>
      <c r="X8" s="261" t="s">
        <v>1741</v>
      </c>
      <c r="Y8" s="261" t="s">
        <v>1742</v>
      </c>
      <c r="Z8" s="261" t="s">
        <v>1743</v>
      </c>
      <c r="AA8" s="261" t="s">
        <v>1744</v>
      </c>
      <c r="AB8" s="261" t="s">
        <v>1745</v>
      </c>
      <c r="AC8" s="261" t="s">
        <v>1746</v>
      </c>
      <c r="AD8" s="261" t="s">
        <v>1747</v>
      </c>
      <c r="AE8" s="261" t="s">
        <v>1748</v>
      </c>
      <c r="AF8" s="261" t="s">
        <v>1749</v>
      </c>
    </row>
    <row r="9" spans="1:35">
      <c r="A9" s="24">
        <v>1</v>
      </c>
      <c r="B9" s="262" t="s">
        <v>75</v>
      </c>
      <c r="C9" s="262" t="s">
        <v>1004</v>
      </c>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row>
    <row r="10" spans="1:35">
      <c r="A10" s="24">
        <v>2</v>
      </c>
      <c r="C10" s="4" t="s">
        <v>1750</v>
      </c>
      <c r="D10" s="4" t="str">
        <f>RIGHT(C10,5)</f>
        <v>00038</v>
      </c>
      <c r="E10" s="264">
        <v>73666.720000000001</v>
      </c>
      <c r="F10" s="264">
        <v>73666.820000000007</v>
      </c>
      <c r="G10" s="264">
        <v>73666.720000000001</v>
      </c>
      <c r="H10" s="264">
        <v>73666.820000000007</v>
      </c>
      <c r="I10" s="264">
        <v>73666.720000000001</v>
      </c>
      <c r="J10" s="264">
        <v>73666.820000000007</v>
      </c>
      <c r="K10" s="264">
        <v>73666.720000000001</v>
      </c>
      <c r="L10" s="264">
        <v>73666.820000000007</v>
      </c>
      <c r="M10" s="264">
        <v>73666.720000000001</v>
      </c>
      <c r="N10" s="264">
        <v>73666.820000000007</v>
      </c>
      <c r="O10" s="264">
        <v>73666.720000000001</v>
      </c>
      <c r="P10" s="264">
        <v>73666.820000000007</v>
      </c>
      <c r="Q10" s="264">
        <v>73666.720000000001</v>
      </c>
      <c r="R10" s="264">
        <v>73666.820000000007</v>
      </c>
      <c r="S10" s="264">
        <v>73666.720000000001</v>
      </c>
      <c r="T10" s="264">
        <v>73666.820000000007</v>
      </c>
      <c r="U10" s="264">
        <v>73666.720000000001</v>
      </c>
      <c r="V10" s="264">
        <v>73666.820000000007</v>
      </c>
      <c r="W10" s="264">
        <v>73666.720000000001</v>
      </c>
      <c r="X10" s="264">
        <v>73666.820000000007</v>
      </c>
      <c r="Y10" s="264">
        <v>73666.720000000001</v>
      </c>
      <c r="Z10" s="264">
        <v>73666.820000000007</v>
      </c>
      <c r="AA10" s="264">
        <v>73666.720000000001</v>
      </c>
      <c r="AB10" s="264">
        <v>73666.820000000007</v>
      </c>
      <c r="AC10" s="264">
        <v>73666.720000000001</v>
      </c>
      <c r="AD10" s="264">
        <v>73666.820000000007</v>
      </c>
      <c r="AE10" s="264">
        <f>+(E10+AC10+(+G10+I10+K10+M10+O10+Q10+S10+U10+W10+Y10+AA10)*2)/24</f>
        <v>73666.719999999987</v>
      </c>
      <c r="AF10" s="264">
        <f>+(F10+AD10+(+H10+J10+L10+N10+P10+R10+T10+V10+X10+Z10+AB10)*2)/24</f>
        <v>73666.820000000022</v>
      </c>
    </row>
    <row r="11" spans="1:35">
      <c r="A11" s="24">
        <v>3</v>
      </c>
      <c r="C11" s="4" t="s">
        <v>1751</v>
      </c>
      <c r="D11" s="265" t="s">
        <v>1752</v>
      </c>
      <c r="E11" s="264">
        <v>0</v>
      </c>
      <c r="F11" s="264">
        <v>0</v>
      </c>
      <c r="G11" s="264">
        <v>0</v>
      </c>
      <c r="H11" s="264">
        <v>0</v>
      </c>
      <c r="I11" s="264">
        <v>0</v>
      </c>
      <c r="J11" s="264">
        <v>0</v>
      </c>
      <c r="K11" s="264">
        <v>0</v>
      </c>
      <c r="L11" s="264">
        <v>0</v>
      </c>
      <c r="M11" s="264">
        <v>0</v>
      </c>
      <c r="N11" s="264">
        <v>0</v>
      </c>
      <c r="O11" s="264">
        <v>0</v>
      </c>
      <c r="P11" s="264">
        <v>0</v>
      </c>
      <c r="Q11" s="264">
        <v>0</v>
      </c>
      <c r="R11" s="264">
        <v>0</v>
      </c>
      <c r="S11" s="264">
        <v>113374.44</v>
      </c>
      <c r="T11" s="264">
        <v>6007.91</v>
      </c>
      <c r="U11" s="264">
        <v>113374.44</v>
      </c>
      <c r="V11" s="264">
        <v>6244.1100000000006</v>
      </c>
      <c r="W11" s="264">
        <v>113374.44</v>
      </c>
      <c r="X11" s="264">
        <v>6480.31</v>
      </c>
      <c r="Y11" s="264">
        <v>113374.44</v>
      </c>
      <c r="Z11" s="264">
        <v>6716.51</v>
      </c>
      <c r="AA11" s="264">
        <v>113374.44</v>
      </c>
      <c r="AB11" s="264">
        <v>6952.71</v>
      </c>
      <c r="AC11" s="264">
        <v>113374.44</v>
      </c>
      <c r="AD11" s="264">
        <v>7188.91</v>
      </c>
      <c r="AE11" s="264">
        <f>+(E11+AC11+(+G11+I11+K11+M11+O11+Q11+S11+U11+W11+Y11+AA11)*2)/24</f>
        <v>51963.284999999996</v>
      </c>
      <c r="AF11" s="264">
        <f t="shared" ref="AF11:AF45" si="0">+(F11+AD11+(+H11+J11+L11+N11+P11+R11+T11+V11+X11+Z11+AB11)*2)/24</f>
        <v>2999.6670833333337</v>
      </c>
    </row>
    <row r="12" spans="1:35">
      <c r="A12" s="24">
        <v>4</v>
      </c>
      <c r="C12" s="4" t="s">
        <v>1753</v>
      </c>
      <c r="D12" s="4" t="str">
        <f t="shared" ref="D12:D45" si="1">RIGHT(C12,5)</f>
        <v>00038</v>
      </c>
      <c r="E12" s="264">
        <v>113374.44</v>
      </c>
      <c r="F12" s="264">
        <v>4371.25</v>
      </c>
      <c r="G12" s="264">
        <v>113374.44</v>
      </c>
      <c r="H12" s="264">
        <v>4604.66</v>
      </c>
      <c r="I12" s="264">
        <v>113374.44</v>
      </c>
      <c r="J12" s="264">
        <v>4838.07</v>
      </c>
      <c r="K12" s="264">
        <v>113374.44</v>
      </c>
      <c r="L12" s="264">
        <v>5071.4800000000005</v>
      </c>
      <c r="M12" s="264">
        <v>113374.44</v>
      </c>
      <c r="N12" s="264">
        <v>5304.89</v>
      </c>
      <c r="O12" s="264">
        <v>113374.44</v>
      </c>
      <c r="P12" s="264">
        <v>5538.3</v>
      </c>
      <c r="Q12" s="264">
        <v>113374.44</v>
      </c>
      <c r="R12" s="264">
        <v>5771.71</v>
      </c>
      <c r="S12" s="264">
        <v>0</v>
      </c>
      <c r="T12" s="264">
        <v>0</v>
      </c>
      <c r="U12" s="264">
        <v>0</v>
      </c>
      <c r="V12" s="264">
        <v>0</v>
      </c>
      <c r="W12" s="264">
        <v>0</v>
      </c>
      <c r="X12" s="264">
        <v>0</v>
      </c>
      <c r="Y12" s="264">
        <v>0</v>
      </c>
      <c r="Z12" s="264">
        <v>0</v>
      </c>
      <c r="AA12" s="264">
        <v>0</v>
      </c>
      <c r="AB12" s="264">
        <v>0</v>
      </c>
      <c r="AC12" s="264">
        <v>0</v>
      </c>
      <c r="AD12" s="264">
        <v>0</v>
      </c>
      <c r="AE12" s="264">
        <f t="shared" ref="AE12:AE45" si="2">+(E12+AC12+(+G12+I12+K12+M12+O12+Q12+S12+U12+W12+Y12+AA12)*2)/24</f>
        <v>61411.154999999992</v>
      </c>
      <c r="AF12" s="264">
        <f t="shared" si="0"/>
        <v>2776.2279166666667</v>
      </c>
    </row>
    <row r="13" spans="1:35">
      <c r="A13" s="24">
        <v>5</v>
      </c>
      <c r="C13" s="4" t="s">
        <v>1754</v>
      </c>
      <c r="D13" s="4" t="str">
        <f t="shared" si="1"/>
        <v>00038</v>
      </c>
      <c r="E13" s="264">
        <v>13130.54</v>
      </c>
      <c r="F13" s="264">
        <v>0</v>
      </c>
      <c r="G13" s="264">
        <v>13130.54</v>
      </c>
      <c r="H13" s="264">
        <v>0</v>
      </c>
      <c r="I13" s="264">
        <v>13130.54</v>
      </c>
      <c r="J13" s="264">
        <v>0</v>
      </c>
      <c r="K13" s="264">
        <v>13130.54</v>
      </c>
      <c r="L13" s="264">
        <v>0</v>
      </c>
      <c r="M13" s="264">
        <v>13130.54</v>
      </c>
      <c r="N13" s="264">
        <v>0</v>
      </c>
      <c r="O13" s="264">
        <v>13130.54</v>
      </c>
      <c r="P13" s="264">
        <v>0</v>
      </c>
      <c r="Q13" s="264">
        <v>13130.54</v>
      </c>
      <c r="R13" s="264">
        <v>0</v>
      </c>
      <c r="S13" s="264">
        <v>13130.54</v>
      </c>
      <c r="T13" s="264">
        <v>0</v>
      </c>
      <c r="U13" s="264">
        <v>13130.54</v>
      </c>
      <c r="V13" s="264">
        <v>0</v>
      </c>
      <c r="W13" s="264">
        <v>13130.54</v>
      </c>
      <c r="X13" s="264">
        <v>0</v>
      </c>
      <c r="Y13" s="264">
        <v>13130.54</v>
      </c>
      <c r="Z13" s="264">
        <v>0</v>
      </c>
      <c r="AA13" s="264">
        <v>13130.54</v>
      </c>
      <c r="AB13" s="264">
        <v>0</v>
      </c>
      <c r="AC13" s="264">
        <v>13130.54</v>
      </c>
      <c r="AD13" s="264">
        <v>0</v>
      </c>
      <c r="AE13" s="264">
        <f t="shared" si="2"/>
        <v>13130.540000000006</v>
      </c>
      <c r="AF13" s="264">
        <f t="shared" si="0"/>
        <v>0</v>
      </c>
    </row>
    <row r="14" spans="1:35">
      <c r="A14" s="24">
        <v>6</v>
      </c>
      <c r="C14" s="4" t="s">
        <v>1755</v>
      </c>
      <c r="D14" s="4" t="str">
        <f t="shared" si="1"/>
        <v>00038</v>
      </c>
      <c r="E14" s="264">
        <v>7692.66</v>
      </c>
      <c r="F14" s="264">
        <v>6205.68</v>
      </c>
      <c r="G14" s="264">
        <v>7692.66</v>
      </c>
      <c r="H14" s="264">
        <v>6215.81</v>
      </c>
      <c r="I14" s="264">
        <v>7692.66</v>
      </c>
      <c r="J14" s="264">
        <v>6225.9400000000005</v>
      </c>
      <c r="K14" s="264">
        <v>7692.66</v>
      </c>
      <c r="L14" s="264">
        <v>6236.07</v>
      </c>
      <c r="M14" s="264">
        <v>7692.66</v>
      </c>
      <c r="N14" s="264">
        <v>6246.2</v>
      </c>
      <c r="O14" s="264">
        <v>7692.66</v>
      </c>
      <c r="P14" s="264">
        <v>6256.33</v>
      </c>
      <c r="Q14" s="264">
        <v>7692.66</v>
      </c>
      <c r="R14" s="264">
        <v>6266.46</v>
      </c>
      <c r="S14" s="264">
        <v>7692.66</v>
      </c>
      <c r="T14" s="264">
        <v>6276.59</v>
      </c>
      <c r="U14" s="264">
        <v>7692.66</v>
      </c>
      <c r="V14" s="264">
        <v>6286.72</v>
      </c>
      <c r="W14" s="264">
        <v>7692.66</v>
      </c>
      <c r="X14" s="264">
        <v>6296.85</v>
      </c>
      <c r="Y14" s="264">
        <v>7692.66</v>
      </c>
      <c r="Z14" s="264">
        <v>6306.9800000000005</v>
      </c>
      <c r="AA14" s="264">
        <v>7692.66</v>
      </c>
      <c r="AB14" s="264">
        <v>6317.1100000000006</v>
      </c>
      <c r="AC14" s="264">
        <v>7692.66</v>
      </c>
      <c r="AD14" s="264">
        <v>6327.24</v>
      </c>
      <c r="AE14" s="264">
        <f t="shared" si="2"/>
        <v>7692.6600000000026</v>
      </c>
      <c r="AF14" s="264">
        <f t="shared" si="0"/>
        <v>6266.46</v>
      </c>
    </row>
    <row r="15" spans="1:35">
      <c r="A15" s="24">
        <v>7</v>
      </c>
      <c r="C15" s="4" t="s">
        <v>1756</v>
      </c>
      <c r="D15" s="4" t="str">
        <f t="shared" si="1"/>
        <v>00038</v>
      </c>
      <c r="E15" s="264">
        <v>6203474.7999999998</v>
      </c>
      <c r="F15" s="264">
        <v>3278641.73</v>
      </c>
      <c r="G15" s="264">
        <v>6203474.7999999998</v>
      </c>
      <c r="H15" s="264">
        <v>3288050.33</v>
      </c>
      <c r="I15" s="264">
        <v>6203474.7999999998</v>
      </c>
      <c r="J15" s="264">
        <v>3297458.93</v>
      </c>
      <c r="K15" s="264">
        <v>6203474.7999999998</v>
      </c>
      <c r="L15" s="264">
        <v>3306867.5300000003</v>
      </c>
      <c r="M15" s="264">
        <v>6203474.7999999998</v>
      </c>
      <c r="N15" s="264">
        <v>3316276.13</v>
      </c>
      <c r="O15" s="264">
        <v>6203474.7999999998</v>
      </c>
      <c r="P15" s="264">
        <v>3325684.73</v>
      </c>
      <c r="Q15" s="264">
        <v>6203474.7999999998</v>
      </c>
      <c r="R15" s="264">
        <v>3335093.33</v>
      </c>
      <c r="S15" s="264">
        <v>6203474.7999999998</v>
      </c>
      <c r="T15" s="264">
        <v>3344501.93</v>
      </c>
      <c r="U15" s="264">
        <v>6203474.7999999998</v>
      </c>
      <c r="V15" s="264">
        <v>3353910.5300000003</v>
      </c>
      <c r="W15" s="264">
        <v>6203474.7999999998</v>
      </c>
      <c r="X15" s="264">
        <v>3363319.13</v>
      </c>
      <c r="Y15" s="264">
        <v>6203474.7999999998</v>
      </c>
      <c r="Z15" s="264">
        <v>3372727.73</v>
      </c>
      <c r="AA15" s="264">
        <v>6203474.7999999998</v>
      </c>
      <c r="AB15" s="264">
        <v>3382136.33</v>
      </c>
      <c r="AC15" s="264">
        <v>6203474.7999999998</v>
      </c>
      <c r="AD15" s="264">
        <v>3391544.93</v>
      </c>
      <c r="AE15" s="264">
        <f t="shared" si="2"/>
        <v>6203474.799999998</v>
      </c>
      <c r="AF15" s="264">
        <f t="shared" si="0"/>
        <v>3335093.3299999996</v>
      </c>
    </row>
    <row r="16" spans="1:35">
      <c r="A16" s="24">
        <v>8</v>
      </c>
      <c r="C16" s="4" t="s">
        <v>1757</v>
      </c>
      <c r="D16" s="4" t="str">
        <f t="shared" si="1"/>
        <v>00038</v>
      </c>
      <c r="E16" s="264">
        <v>36161.700000000004</v>
      </c>
      <c r="F16" s="264">
        <v>-4564.4000000000005</v>
      </c>
      <c r="G16" s="264">
        <v>36161.700000000004</v>
      </c>
      <c r="H16" s="264">
        <v>-4552.05</v>
      </c>
      <c r="I16" s="264">
        <v>36161.700000000004</v>
      </c>
      <c r="J16" s="264">
        <v>-4539.7</v>
      </c>
      <c r="K16" s="264">
        <v>36161.700000000004</v>
      </c>
      <c r="L16" s="264">
        <v>-4527.3500000000004</v>
      </c>
      <c r="M16" s="264">
        <v>36161.700000000004</v>
      </c>
      <c r="N16" s="264">
        <v>-4515</v>
      </c>
      <c r="O16" s="264">
        <v>36161.700000000004</v>
      </c>
      <c r="P16" s="264">
        <v>-4502.6500000000005</v>
      </c>
      <c r="Q16" s="264">
        <v>36161.700000000004</v>
      </c>
      <c r="R16" s="264">
        <v>-4490.3</v>
      </c>
      <c r="S16" s="264">
        <v>36161.700000000004</v>
      </c>
      <c r="T16" s="264">
        <v>-4477.95</v>
      </c>
      <c r="U16" s="264">
        <v>36161.700000000004</v>
      </c>
      <c r="V16" s="264">
        <v>-4465.6000000000004</v>
      </c>
      <c r="W16" s="264">
        <v>36161.700000000004</v>
      </c>
      <c r="X16" s="264">
        <v>-4453.25</v>
      </c>
      <c r="Y16" s="264">
        <v>36161.700000000004</v>
      </c>
      <c r="Z16" s="264">
        <v>-4440.9000000000005</v>
      </c>
      <c r="AA16" s="264">
        <v>36161.700000000004</v>
      </c>
      <c r="AB16" s="264">
        <v>-4428.55</v>
      </c>
      <c r="AC16" s="264">
        <v>36161.700000000004</v>
      </c>
      <c r="AD16" s="264">
        <v>-4416.2</v>
      </c>
      <c r="AE16" s="264">
        <f t="shared" si="2"/>
        <v>36161.700000000004</v>
      </c>
      <c r="AF16" s="264">
        <f t="shared" si="0"/>
        <v>-4490.3</v>
      </c>
    </row>
    <row r="17" spans="1:32">
      <c r="A17" s="24">
        <v>9</v>
      </c>
      <c r="C17" s="4" t="s">
        <v>1758</v>
      </c>
      <c r="D17" s="4" t="str">
        <f t="shared" si="1"/>
        <v>00038</v>
      </c>
      <c r="E17" s="264">
        <v>81176.350000000006</v>
      </c>
      <c r="F17" s="264">
        <v>-2885.31</v>
      </c>
      <c r="G17" s="264">
        <v>81176.350000000006</v>
      </c>
      <c r="H17" s="264">
        <v>-2758.13</v>
      </c>
      <c r="I17" s="264">
        <v>81176.350000000006</v>
      </c>
      <c r="J17" s="264">
        <v>-2630.9500000000003</v>
      </c>
      <c r="K17" s="264">
        <v>81176.350000000006</v>
      </c>
      <c r="L17" s="264">
        <v>-2503.77</v>
      </c>
      <c r="M17" s="264">
        <v>81176.350000000006</v>
      </c>
      <c r="N17" s="264">
        <v>-2376.59</v>
      </c>
      <c r="O17" s="264">
        <v>81176.350000000006</v>
      </c>
      <c r="P17" s="264">
        <v>-2249.41</v>
      </c>
      <c r="Q17" s="264">
        <v>81176.350000000006</v>
      </c>
      <c r="R17" s="264">
        <v>-2122.23</v>
      </c>
      <c r="S17" s="264">
        <v>81176.350000000006</v>
      </c>
      <c r="T17" s="264">
        <v>-1995.05</v>
      </c>
      <c r="U17" s="264">
        <v>81176.350000000006</v>
      </c>
      <c r="V17" s="264">
        <v>-1867.8700000000001</v>
      </c>
      <c r="W17" s="264">
        <v>79051.19</v>
      </c>
      <c r="X17" s="264">
        <v>-1740.69</v>
      </c>
      <c r="Y17" s="264">
        <v>79051.19</v>
      </c>
      <c r="Z17" s="264">
        <v>-1616.8400000000001</v>
      </c>
      <c r="AA17" s="264">
        <v>79051.19</v>
      </c>
      <c r="AB17" s="264">
        <v>-1492.99</v>
      </c>
      <c r="AC17" s="264">
        <v>79051.19</v>
      </c>
      <c r="AD17" s="264">
        <v>-1369.14</v>
      </c>
      <c r="AE17" s="264">
        <f t="shared" si="2"/>
        <v>80556.511666666658</v>
      </c>
      <c r="AF17" s="264">
        <f t="shared" si="0"/>
        <v>-2123.4787499999998</v>
      </c>
    </row>
    <row r="18" spans="1:32">
      <c r="A18" s="24">
        <v>10</v>
      </c>
      <c r="C18" s="4" t="s">
        <v>1759</v>
      </c>
      <c r="D18" s="4" t="str">
        <f t="shared" si="1"/>
        <v>00038</v>
      </c>
      <c r="E18" s="264">
        <v>141860.15</v>
      </c>
      <c r="F18" s="264">
        <v>0</v>
      </c>
      <c r="G18" s="264">
        <v>141860.15</v>
      </c>
      <c r="H18" s="264">
        <v>0</v>
      </c>
      <c r="I18" s="264">
        <v>141860.15</v>
      </c>
      <c r="J18" s="264">
        <v>0</v>
      </c>
      <c r="K18" s="264">
        <v>141860.15</v>
      </c>
      <c r="L18" s="264">
        <v>0</v>
      </c>
      <c r="M18" s="264">
        <v>141860.15</v>
      </c>
      <c r="N18" s="264">
        <v>0</v>
      </c>
      <c r="O18" s="264">
        <v>141860.15</v>
      </c>
      <c r="P18" s="264">
        <v>0</v>
      </c>
      <c r="Q18" s="264">
        <v>141860.15</v>
      </c>
      <c r="R18" s="264">
        <v>0</v>
      </c>
      <c r="S18" s="264">
        <v>141860.15</v>
      </c>
      <c r="T18" s="264">
        <v>0</v>
      </c>
      <c r="U18" s="264">
        <v>141860.15</v>
      </c>
      <c r="V18" s="264">
        <v>0</v>
      </c>
      <c r="W18" s="264">
        <v>141860.15</v>
      </c>
      <c r="X18" s="264">
        <v>0</v>
      </c>
      <c r="Y18" s="264">
        <v>141860.15</v>
      </c>
      <c r="Z18" s="264">
        <v>0</v>
      </c>
      <c r="AA18" s="264">
        <v>141860.15</v>
      </c>
      <c r="AB18" s="264">
        <v>0</v>
      </c>
      <c r="AC18" s="264">
        <v>141860.15</v>
      </c>
      <c r="AD18" s="264">
        <v>0</v>
      </c>
      <c r="AE18" s="264">
        <f t="shared" si="2"/>
        <v>141860.14999999997</v>
      </c>
      <c r="AF18" s="264">
        <f t="shared" si="0"/>
        <v>0</v>
      </c>
    </row>
    <row r="19" spans="1:32">
      <c r="A19" s="24">
        <v>11</v>
      </c>
      <c r="C19" s="4" t="s">
        <v>1760</v>
      </c>
      <c r="D19" s="4" t="str">
        <f t="shared" si="1"/>
        <v>00038</v>
      </c>
      <c r="E19" s="264">
        <v>0</v>
      </c>
      <c r="F19" s="264">
        <v>-655.47</v>
      </c>
      <c r="G19" s="264">
        <v>0</v>
      </c>
      <c r="H19" s="264">
        <v>-655.47</v>
      </c>
      <c r="I19" s="264">
        <v>0</v>
      </c>
      <c r="J19" s="264">
        <v>-655.47</v>
      </c>
      <c r="K19" s="264">
        <v>0</v>
      </c>
      <c r="L19" s="264">
        <v>-655.47</v>
      </c>
      <c r="M19" s="264">
        <v>0</v>
      </c>
      <c r="N19" s="264">
        <v>-655.47</v>
      </c>
      <c r="O19" s="264">
        <v>0</v>
      </c>
      <c r="P19" s="264">
        <v>-655.47</v>
      </c>
      <c r="Q19" s="264">
        <v>0</v>
      </c>
      <c r="R19" s="264">
        <v>-655.47</v>
      </c>
      <c r="S19" s="264">
        <v>0</v>
      </c>
      <c r="T19" s="264">
        <v>-655.47</v>
      </c>
      <c r="U19" s="264">
        <v>0</v>
      </c>
      <c r="V19" s="264">
        <v>-655.47</v>
      </c>
      <c r="W19" s="264">
        <v>0</v>
      </c>
      <c r="X19" s="264">
        <v>-655.47</v>
      </c>
      <c r="Y19" s="264">
        <v>0</v>
      </c>
      <c r="Z19" s="264">
        <v>-655.47</v>
      </c>
      <c r="AA19" s="264">
        <v>0</v>
      </c>
      <c r="AB19" s="264">
        <v>-655.47</v>
      </c>
      <c r="AC19" s="264">
        <v>0</v>
      </c>
      <c r="AD19" s="264">
        <v>-655.47</v>
      </c>
      <c r="AE19" s="264">
        <f t="shared" si="2"/>
        <v>0</v>
      </c>
      <c r="AF19" s="264">
        <f t="shared" si="0"/>
        <v>-655.47000000000014</v>
      </c>
    </row>
    <row r="20" spans="1:32">
      <c r="A20" s="24">
        <v>12</v>
      </c>
      <c r="C20" s="4" t="s">
        <v>1761</v>
      </c>
      <c r="D20" s="4" t="str">
        <f t="shared" si="1"/>
        <v>00038</v>
      </c>
      <c r="E20" s="264">
        <v>363784.97000000003</v>
      </c>
      <c r="F20" s="264">
        <v>246406.96</v>
      </c>
      <c r="G20" s="264">
        <v>363784.97000000003</v>
      </c>
      <c r="H20" s="264">
        <v>246776.81</v>
      </c>
      <c r="I20" s="264">
        <v>363784.97000000003</v>
      </c>
      <c r="J20" s="264">
        <v>247146.66</v>
      </c>
      <c r="K20" s="264">
        <v>363784.97000000003</v>
      </c>
      <c r="L20" s="264">
        <v>247516.51</v>
      </c>
      <c r="M20" s="264">
        <v>363784.97000000003</v>
      </c>
      <c r="N20" s="264">
        <v>247886.36000000002</v>
      </c>
      <c r="O20" s="264">
        <v>363784.97000000003</v>
      </c>
      <c r="P20" s="264">
        <v>248256.21</v>
      </c>
      <c r="Q20" s="264">
        <v>363784.97000000003</v>
      </c>
      <c r="R20" s="264">
        <v>248626.06</v>
      </c>
      <c r="S20" s="264">
        <v>363784.97000000003</v>
      </c>
      <c r="T20" s="264">
        <v>248995.91</v>
      </c>
      <c r="U20" s="264">
        <v>363784.97000000003</v>
      </c>
      <c r="V20" s="264">
        <v>249365.76000000001</v>
      </c>
      <c r="W20" s="264">
        <v>363784.97000000003</v>
      </c>
      <c r="X20" s="264">
        <v>249735.61000000002</v>
      </c>
      <c r="Y20" s="264">
        <v>363784.97000000003</v>
      </c>
      <c r="Z20" s="264">
        <v>250105.46</v>
      </c>
      <c r="AA20" s="264">
        <v>363784.97000000003</v>
      </c>
      <c r="AB20" s="264">
        <v>250475.31</v>
      </c>
      <c r="AC20" s="264">
        <v>363784.97000000003</v>
      </c>
      <c r="AD20" s="264">
        <v>250845.16</v>
      </c>
      <c r="AE20" s="264">
        <f t="shared" si="2"/>
        <v>363784.97000000015</v>
      </c>
      <c r="AF20" s="264">
        <f t="shared" si="0"/>
        <v>248626.06000000003</v>
      </c>
    </row>
    <row r="21" spans="1:32">
      <c r="A21" s="24">
        <v>13</v>
      </c>
      <c r="C21" s="4" t="s">
        <v>1762</v>
      </c>
      <c r="D21" s="4" t="str">
        <f t="shared" si="1"/>
        <v>00038</v>
      </c>
      <c r="E21" s="264">
        <v>15085668.380000001</v>
      </c>
      <c r="F21" s="264">
        <v>4897183.96</v>
      </c>
      <c r="G21" s="264">
        <v>15104874.25</v>
      </c>
      <c r="H21" s="264">
        <v>4979920</v>
      </c>
      <c r="I21" s="264">
        <v>15106654.83</v>
      </c>
      <c r="J21" s="264">
        <v>4995654.25</v>
      </c>
      <c r="K21" s="264">
        <v>15110550.34</v>
      </c>
      <c r="L21" s="264">
        <v>5010120.05</v>
      </c>
      <c r="M21" s="264">
        <v>15151477.460000001</v>
      </c>
      <c r="N21" s="264">
        <v>5025860.2</v>
      </c>
      <c r="O21" s="264">
        <v>15151477.449999999</v>
      </c>
      <c r="P21" s="264">
        <v>5041642.99</v>
      </c>
      <c r="Q21" s="264">
        <v>15348974.75</v>
      </c>
      <c r="R21" s="264">
        <v>5057241.3600000003</v>
      </c>
      <c r="S21" s="264">
        <v>15334956.33</v>
      </c>
      <c r="T21" s="264">
        <v>5073229.87</v>
      </c>
      <c r="U21" s="264">
        <v>15761109.73</v>
      </c>
      <c r="V21" s="264">
        <v>5089203.78</v>
      </c>
      <c r="W21" s="264">
        <v>15761109.73</v>
      </c>
      <c r="X21" s="264">
        <v>5079247.0199999996</v>
      </c>
      <c r="Y21" s="264">
        <v>15761109.73</v>
      </c>
      <c r="Z21" s="264">
        <v>5095664.84</v>
      </c>
      <c r="AA21" s="264">
        <v>15761109.73</v>
      </c>
      <c r="AB21" s="264">
        <v>5112082.66</v>
      </c>
      <c r="AC21" s="264">
        <v>16263434.68</v>
      </c>
      <c r="AD21" s="264">
        <v>5121531.34</v>
      </c>
      <c r="AE21" s="264">
        <f t="shared" si="2"/>
        <v>15418996.321666665</v>
      </c>
      <c r="AF21" s="264">
        <f t="shared" si="0"/>
        <v>5047435.3891666662</v>
      </c>
    </row>
    <row r="22" spans="1:32">
      <c r="A22" s="24">
        <v>14</v>
      </c>
      <c r="C22" s="4" t="s">
        <v>1763</v>
      </c>
      <c r="D22" s="4" t="str">
        <f t="shared" si="1"/>
        <v>00038</v>
      </c>
      <c r="E22" s="264">
        <v>36326710.43</v>
      </c>
      <c r="F22" s="264">
        <v>8318908.7199999997</v>
      </c>
      <c r="G22" s="264">
        <v>36319962.240000002</v>
      </c>
      <c r="H22" s="264">
        <v>8984426.3599999994</v>
      </c>
      <c r="I22" s="264">
        <v>36351504.299999997</v>
      </c>
      <c r="J22" s="264">
        <v>9109427.5600000005</v>
      </c>
      <c r="K22" s="264">
        <v>36365688.93</v>
      </c>
      <c r="L22" s="264">
        <v>9230380.75</v>
      </c>
      <c r="M22" s="264">
        <v>36940084.009999998</v>
      </c>
      <c r="N22" s="264">
        <v>9355539.3300000001</v>
      </c>
      <c r="O22" s="264">
        <v>37012259.280000001</v>
      </c>
      <c r="P22" s="264">
        <v>9482674.7799999993</v>
      </c>
      <c r="Q22" s="264">
        <v>37067628.990000002</v>
      </c>
      <c r="R22" s="264">
        <v>9609877.5199999996</v>
      </c>
      <c r="S22" s="264">
        <v>37103980.909999996</v>
      </c>
      <c r="T22" s="264">
        <v>9737451.9499999993</v>
      </c>
      <c r="U22" s="264">
        <v>37779712.049999997</v>
      </c>
      <c r="V22" s="264">
        <v>9863497.3000000007</v>
      </c>
      <c r="W22" s="264">
        <v>38035887.810000002</v>
      </c>
      <c r="X22" s="264">
        <v>9992056.8499999996</v>
      </c>
      <c r="Y22" s="264">
        <v>38377685.039999999</v>
      </c>
      <c r="Z22" s="264">
        <v>10122963.699999999</v>
      </c>
      <c r="AA22" s="264">
        <v>38613862.909999996</v>
      </c>
      <c r="AB22" s="264">
        <v>10254363.810000001</v>
      </c>
      <c r="AC22" s="264">
        <v>38985326.240000002</v>
      </c>
      <c r="AD22" s="264">
        <v>10387259.859999999</v>
      </c>
      <c r="AE22" s="264">
        <f t="shared" si="2"/>
        <v>37302022.900416665</v>
      </c>
      <c r="AF22" s="264">
        <f t="shared" si="0"/>
        <v>9591312.0166666657</v>
      </c>
    </row>
    <row r="23" spans="1:32">
      <c r="A23" s="24">
        <v>15</v>
      </c>
      <c r="C23" s="4" t="s">
        <v>1764</v>
      </c>
      <c r="D23" s="4" t="str">
        <f t="shared" si="1"/>
        <v>00038</v>
      </c>
      <c r="E23" s="264">
        <v>31021437.920000002</v>
      </c>
      <c r="F23" s="264">
        <v>22938009.989999998</v>
      </c>
      <c r="G23" s="264">
        <v>31038899.719999999</v>
      </c>
      <c r="H23" s="264">
        <v>22991192.850000001</v>
      </c>
      <c r="I23" s="264">
        <v>31046740.219999999</v>
      </c>
      <c r="J23" s="264">
        <v>23004209.059999999</v>
      </c>
      <c r="K23" s="264">
        <v>31199451.789999999</v>
      </c>
      <c r="L23" s="264">
        <v>23048829.640000001</v>
      </c>
      <c r="M23" s="264">
        <v>31254403.899999999</v>
      </c>
      <c r="N23" s="264">
        <v>23087875.199999999</v>
      </c>
      <c r="O23" s="264">
        <v>31253245.510000002</v>
      </c>
      <c r="P23" s="264">
        <v>23143836.149999999</v>
      </c>
      <c r="Q23" s="264">
        <v>31454455.699999999</v>
      </c>
      <c r="R23" s="264">
        <v>23201133.760000002</v>
      </c>
      <c r="S23" s="264">
        <v>31547721.050000001</v>
      </c>
      <c r="T23" s="264">
        <v>23258634.899999999</v>
      </c>
      <c r="U23" s="264">
        <v>31552793.73</v>
      </c>
      <c r="V23" s="264">
        <v>23312037.420000002</v>
      </c>
      <c r="W23" s="264">
        <v>31570517.539999999</v>
      </c>
      <c r="X23" s="264">
        <v>23369884.199999999</v>
      </c>
      <c r="Y23" s="264">
        <v>31579299.510000002</v>
      </c>
      <c r="Z23" s="264">
        <v>23426957.690000001</v>
      </c>
      <c r="AA23" s="264">
        <v>31630260</v>
      </c>
      <c r="AB23" s="264">
        <v>23478212.280000001</v>
      </c>
      <c r="AC23" s="264">
        <v>31764135.859999999</v>
      </c>
      <c r="AD23" s="264">
        <v>23534532.66</v>
      </c>
      <c r="AE23" s="264">
        <f t="shared" si="2"/>
        <v>31376714.629999995</v>
      </c>
      <c r="AF23" s="264">
        <f t="shared" si="0"/>
        <v>23213256.206250001</v>
      </c>
    </row>
    <row r="24" spans="1:32">
      <c r="A24" s="24">
        <v>16</v>
      </c>
      <c r="C24" s="4" t="s">
        <v>1765</v>
      </c>
      <c r="D24" s="4" t="str">
        <f t="shared" si="1"/>
        <v>00038</v>
      </c>
      <c r="E24" s="264">
        <v>7895829.7400000002</v>
      </c>
      <c r="F24" s="264">
        <v>2875066.34</v>
      </c>
      <c r="G24" s="264">
        <v>7921283.5999999996</v>
      </c>
      <c r="H24" s="264">
        <v>2887699.67</v>
      </c>
      <c r="I24" s="264">
        <v>7942537.4500000002</v>
      </c>
      <c r="J24" s="264">
        <v>2900373.7199999997</v>
      </c>
      <c r="K24" s="264">
        <v>8012268.1900000004</v>
      </c>
      <c r="L24" s="264">
        <v>2904989.02</v>
      </c>
      <c r="M24" s="264">
        <v>8029887.7400000002</v>
      </c>
      <c r="N24" s="264">
        <v>2917808.65</v>
      </c>
      <c r="O24" s="264">
        <v>8029887.7400000002</v>
      </c>
      <c r="P24" s="264">
        <v>2930656.4699999997</v>
      </c>
      <c r="Q24" s="264">
        <v>8142370.3600000003</v>
      </c>
      <c r="R24" s="264">
        <v>2942067.37</v>
      </c>
      <c r="S24" s="264">
        <v>8142931.5599999996</v>
      </c>
      <c r="T24" s="264">
        <v>2953661.59</v>
      </c>
      <c r="U24" s="264">
        <v>8143368.9199999999</v>
      </c>
      <c r="V24" s="264">
        <v>2966690.2800000003</v>
      </c>
      <c r="W24" s="264">
        <v>8146052.8200000003</v>
      </c>
      <c r="X24" s="264">
        <v>2979162.77</v>
      </c>
      <c r="Y24" s="264">
        <v>8167832.2000000002</v>
      </c>
      <c r="Z24" s="264">
        <v>2992196.45</v>
      </c>
      <c r="AA24" s="264">
        <v>8168799.6500000004</v>
      </c>
      <c r="AB24" s="264">
        <v>3005264.98</v>
      </c>
      <c r="AC24" s="264">
        <v>8710463.1500000004</v>
      </c>
      <c r="AD24" s="264">
        <v>3016966.62</v>
      </c>
      <c r="AE24" s="264">
        <f t="shared" si="2"/>
        <v>8095863.8895833343</v>
      </c>
      <c r="AF24" s="264">
        <f t="shared" si="0"/>
        <v>2943882.2875000001</v>
      </c>
    </row>
    <row r="25" spans="1:32">
      <c r="A25" s="24">
        <v>17</v>
      </c>
      <c r="C25" s="4" t="s">
        <v>1766</v>
      </c>
      <c r="D25" s="4" t="str">
        <f t="shared" si="1"/>
        <v>00038</v>
      </c>
      <c r="E25" s="264">
        <v>33686399.469999999</v>
      </c>
      <c r="F25" s="264">
        <v>11533257.710000001</v>
      </c>
      <c r="G25" s="264">
        <v>33614058.350000001</v>
      </c>
      <c r="H25" s="264">
        <v>11952752.060000001</v>
      </c>
      <c r="I25" s="264">
        <v>33706884.939999998</v>
      </c>
      <c r="J25" s="264">
        <v>12056509.779999999</v>
      </c>
      <c r="K25" s="264">
        <v>33922787.780000001</v>
      </c>
      <c r="L25" s="264">
        <v>12163405.59</v>
      </c>
      <c r="M25" s="264">
        <v>33628845.560000002</v>
      </c>
      <c r="N25" s="264">
        <v>12271600.630000001</v>
      </c>
      <c r="O25" s="264">
        <v>33876412.810000002</v>
      </c>
      <c r="P25" s="264">
        <v>12378954.49</v>
      </c>
      <c r="Q25" s="264">
        <v>34036179.149999999</v>
      </c>
      <c r="R25" s="264">
        <v>12485497.289999999</v>
      </c>
      <c r="S25" s="264">
        <v>34216383.450000003</v>
      </c>
      <c r="T25" s="264">
        <v>12594736.720000001</v>
      </c>
      <c r="U25" s="264">
        <v>34531469.799999997</v>
      </c>
      <c r="V25" s="264">
        <v>12703589.76</v>
      </c>
      <c r="W25" s="264">
        <v>34648005.299999997</v>
      </c>
      <c r="X25" s="264">
        <v>12814756.890000001</v>
      </c>
      <c r="Y25" s="264">
        <v>34809170.100000001</v>
      </c>
      <c r="Z25" s="264">
        <v>12926143.59</v>
      </c>
      <c r="AA25" s="264">
        <v>34925807.119999997</v>
      </c>
      <c r="AB25" s="264">
        <v>13037817.550000001</v>
      </c>
      <c r="AC25" s="264">
        <v>35450283.200000003</v>
      </c>
      <c r="AD25" s="264">
        <v>13149746.33</v>
      </c>
      <c r="AE25" s="264">
        <f t="shared" si="2"/>
        <v>34207028.807916671</v>
      </c>
      <c r="AF25" s="264">
        <f t="shared" si="0"/>
        <v>12477272.197500004</v>
      </c>
    </row>
    <row r="26" spans="1:32">
      <c r="A26" s="24">
        <v>18</v>
      </c>
      <c r="C26" s="4" t="s">
        <v>1767</v>
      </c>
      <c r="D26" s="4" t="str">
        <f t="shared" si="1"/>
        <v>00038</v>
      </c>
      <c r="E26" s="264">
        <v>13055611.970000001</v>
      </c>
      <c r="F26" s="264">
        <v>19024335.030000001</v>
      </c>
      <c r="G26" s="264">
        <v>13056123.84</v>
      </c>
      <c r="H26" s="264">
        <v>19050574.940000001</v>
      </c>
      <c r="I26" s="264">
        <v>13056069.41</v>
      </c>
      <c r="J26" s="264">
        <v>19066831.210000001</v>
      </c>
      <c r="K26" s="264">
        <v>13055702.51</v>
      </c>
      <c r="L26" s="264">
        <v>19085787</v>
      </c>
      <c r="M26" s="264">
        <v>13054970.4</v>
      </c>
      <c r="N26" s="264">
        <v>19118747.829999998</v>
      </c>
      <c r="O26" s="264">
        <v>13053900.07</v>
      </c>
      <c r="P26" s="264">
        <v>19153496.52</v>
      </c>
      <c r="Q26" s="264">
        <v>13051661.68</v>
      </c>
      <c r="R26" s="264">
        <v>19181442.25</v>
      </c>
      <c r="S26" s="264">
        <v>13050987.859999999</v>
      </c>
      <c r="T26" s="264">
        <v>19213941.760000002</v>
      </c>
      <c r="U26" s="264">
        <v>13049850.09</v>
      </c>
      <c r="V26" s="264">
        <v>19238161.149999999</v>
      </c>
      <c r="W26" s="264">
        <v>13049170.619999999</v>
      </c>
      <c r="X26" s="264">
        <v>19265905.129999999</v>
      </c>
      <c r="Y26" s="264">
        <v>13026986.630000001</v>
      </c>
      <c r="Z26" s="264">
        <v>19294246.84</v>
      </c>
      <c r="AA26" s="264">
        <v>13026707.18</v>
      </c>
      <c r="AB26" s="264">
        <v>19323220.690000001</v>
      </c>
      <c r="AC26" s="264">
        <v>13026506.49</v>
      </c>
      <c r="AD26" s="264">
        <v>19356328.68</v>
      </c>
      <c r="AE26" s="264">
        <f t="shared" si="2"/>
        <v>13047765.793333331</v>
      </c>
      <c r="AF26" s="264">
        <f t="shared" si="0"/>
        <v>19181890.597916666</v>
      </c>
    </row>
    <row r="27" spans="1:32">
      <c r="A27" s="24">
        <v>19</v>
      </c>
      <c r="C27" s="4" t="s">
        <v>1768</v>
      </c>
      <c r="D27" s="4" t="str">
        <f t="shared" si="1"/>
        <v>00038</v>
      </c>
      <c r="E27" s="264">
        <v>8242824.79</v>
      </c>
      <c r="F27" s="264">
        <v>3356811.97</v>
      </c>
      <c r="G27" s="264">
        <v>8260321.46</v>
      </c>
      <c r="H27" s="264">
        <v>3369498.74</v>
      </c>
      <c r="I27" s="264">
        <v>8280203.46</v>
      </c>
      <c r="J27" s="264">
        <v>3382302.23</v>
      </c>
      <c r="K27" s="264">
        <v>8307075.9299999997</v>
      </c>
      <c r="L27" s="264">
        <v>3394658.36</v>
      </c>
      <c r="M27" s="264">
        <v>8324970.5300000003</v>
      </c>
      <c r="N27" s="264">
        <v>3407280.62</v>
      </c>
      <c r="O27" s="264">
        <v>8343035.1200000001</v>
      </c>
      <c r="P27" s="264">
        <v>3420184.32</v>
      </c>
      <c r="Q27" s="264">
        <v>8361379.8799999999</v>
      </c>
      <c r="R27" s="264">
        <v>3433113.42</v>
      </c>
      <c r="S27" s="264">
        <v>8378389.4000000004</v>
      </c>
      <c r="T27" s="264">
        <v>3445002.36</v>
      </c>
      <c r="U27" s="264">
        <v>8376949.3700000001</v>
      </c>
      <c r="V27" s="264">
        <v>3450401.25</v>
      </c>
      <c r="W27" s="264">
        <v>8384162.5599999996</v>
      </c>
      <c r="X27" s="264">
        <v>3463087.87</v>
      </c>
      <c r="Y27" s="264">
        <v>8395362.3300000001</v>
      </c>
      <c r="Z27" s="264">
        <v>3474665.14</v>
      </c>
      <c r="AA27" s="264">
        <v>8420057.2799999993</v>
      </c>
      <c r="AB27" s="264">
        <v>3487645.61</v>
      </c>
      <c r="AC27" s="264">
        <v>8433778.1199999992</v>
      </c>
      <c r="AD27" s="264">
        <v>3500679.52</v>
      </c>
      <c r="AE27" s="264">
        <f t="shared" si="2"/>
        <v>8347517.3979166662</v>
      </c>
      <c r="AF27" s="264">
        <f t="shared" si="0"/>
        <v>3429715.4720833325</v>
      </c>
    </row>
    <row r="28" spans="1:32">
      <c r="A28" s="24">
        <v>20</v>
      </c>
      <c r="C28" s="4" t="s">
        <v>1769</v>
      </c>
      <c r="D28" s="4" t="str">
        <f t="shared" si="1"/>
        <v>00038</v>
      </c>
      <c r="E28" s="264">
        <v>1670380.77</v>
      </c>
      <c r="F28" s="264">
        <v>680211.56</v>
      </c>
      <c r="G28" s="264">
        <v>1671090.47</v>
      </c>
      <c r="H28" s="264">
        <v>683246.09</v>
      </c>
      <c r="I28" s="264">
        <v>1671090.47</v>
      </c>
      <c r="J28" s="264">
        <v>686281.9</v>
      </c>
      <c r="K28" s="264">
        <v>1673664.92</v>
      </c>
      <c r="L28" s="264">
        <v>689317.71</v>
      </c>
      <c r="M28" s="264">
        <v>1675639.27</v>
      </c>
      <c r="N28" s="264">
        <v>692358.20000000007</v>
      </c>
      <c r="O28" s="264">
        <v>1675639.27</v>
      </c>
      <c r="P28" s="264">
        <v>695402.28</v>
      </c>
      <c r="Q28" s="264">
        <v>1696382.46</v>
      </c>
      <c r="R28" s="264">
        <v>698446.36</v>
      </c>
      <c r="S28" s="264">
        <v>1702358.19</v>
      </c>
      <c r="T28" s="264">
        <v>701528.12</v>
      </c>
      <c r="U28" s="264">
        <v>1710451.51</v>
      </c>
      <c r="V28" s="264">
        <v>712208.36</v>
      </c>
      <c r="W28" s="264">
        <v>1713381.5899999999</v>
      </c>
      <c r="X28" s="264">
        <v>715315.68</v>
      </c>
      <c r="Y28" s="264">
        <v>1719312.94</v>
      </c>
      <c r="Z28" s="264">
        <v>718428.32000000007</v>
      </c>
      <c r="AA28" s="264">
        <v>1721031</v>
      </c>
      <c r="AB28" s="264">
        <v>721551.74</v>
      </c>
      <c r="AC28" s="264">
        <v>1828166.3</v>
      </c>
      <c r="AD28" s="264">
        <v>712745.85</v>
      </c>
      <c r="AE28" s="264">
        <f t="shared" si="2"/>
        <v>1698276.3020833333</v>
      </c>
      <c r="AF28" s="264">
        <f t="shared" si="0"/>
        <v>700880.28874999995</v>
      </c>
    </row>
    <row r="29" spans="1:32">
      <c r="A29" s="24">
        <v>21</v>
      </c>
      <c r="C29" s="4" t="s">
        <v>1770</v>
      </c>
      <c r="D29" s="4" t="str">
        <f t="shared" si="1"/>
        <v>00038</v>
      </c>
      <c r="E29" s="264">
        <v>0</v>
      </c>
      <c r="F29" s="264">
        <v>-256.08</v>
      </c>
      <c r="G29" s="264">
        <v>0</v>
      </c>
      <c r="H29" s="264">
        <v>-256.08</v>
      </c>
      <c r="I29" s="264">
        <v>0</v>
      </c>
      <c r="J29" s="264">
        <v>-256.08</v>
      </c>
      <c r="K29" s="264">
        <v>0</v>
      </c>
      <c r="L29" s="264">
        <v>-256.08</v>
      </c>
      <c r="M29" s="264">
        <v>0</v>
      </c>
      <c r="N29" s="264">
        <v>-256.08</v>
      </c>
      <c r="O29" s="264">
        <v>0</v>
      </c>
      <c r="P29" s="264">
        <v>-256.08</v>
      </c>
      <c r="Q29" s="264">
        <v>0</v>
      </c>
      <c r="R29" s="264">
        <v>-256.08</v>
      </c>
      <c r="S29" s="264">
        <v>0</v>
      </c>
      <c r="T29" s="264">
        <v>-256.08</v>
      </c>
      <c r="U29" s="264">
        <v>0</v>
      </c>
      <c r="V29" s="264">
        <v>-256.08</v>
      </c>
      <c r="W29" s="264">
        <v>0</v>
      </c>
      <c r="X29" s="264">
        <v>-256.08</v>
      </c>
      <c r="Y29" s="264">
        <v>0</v>
      </c>
      <c r="Z29" s="264">
        <v>-256.08</v>
      </c>
      <c r="AA29" s="264">
        <v>0</v>
      </c>
      <c r="AB29" s="264">
        <v>-256.08</v>
      </c>
      <c r="AC29" s="264">
        <v>0</v>
      </c>
      <c r="AD29" s="264">
        <v>-256.08</v>
      </c>
      <c r="AE29" s="264">
        <f t="shared" si="2"/>
        <v>0</v>
      </c>
      <c r="AF29" s="264">
        <f t="shared" si="0"/>
        <v>-256.08</v>
      </c>
    </row>
    <row r="30" spans="1:32">
      <c r="A30" s="24">
        <v>22</v>
      </c>
      <c r="C30" s="4" t="s">
        <v>1771</v>
      </c>
      <c r="D30" s="4" t="str">
        <f t="shared" si="1"/>
        <v>00038</v>
      </c>
      <c r="E30" s="264">
        <v>302126.86</v>
      </c>
      <c r="F30" s="264">
        <v>250563.73</v>
      </c>
      <c r="G30" s="264">
        <v>302126.86</v>
      </c>
      <c r="H30" s="264">
        <v>250563.73</v>
      </c>
      <c r="I30" s="264">
        <v>302126.86</v>
      </c>
      <c r="J30" s="264">
        <v>250563.73</v>
      </c>
      <c r="K30" s="264">
        <v>493301.43</v>
      </c>
      <c r="L30" s="264">
        <v>250563.73</v>
      </c>
      <c r="M30" s="264">
        <v>493301.43</v>
      </c>
      <c r="N30" s="264">
        <v>309237.99</v>
      </c>
      <c r="O30" s="264">
        <v>493301.43</v>
      </c>
      <c r="P30" s="264">
        <v>309237.99</v>
      </c>
      <c r="Q30" s="264">
        <v>493301.43</v>
      </c>
      <c r="R30" s="264">
        <v>309237.99</v>
      </c>
      <c r="S30" s="264">
        <v>493301.43</v>
      </c>
      <c r="T30" s="264">
        <v>309237.99</v>
      </c>
      <c r="U30" s="264">
        <v>493301.43</v>
      </c>
      <c r="V30" s="264">
        <v>309237.99</v>
      </c>
      <c r="W30" s="264">
        <v>493301.43</v>
      </c>
      <c r="X30" s="264">
        <v>309237.99</v>
      </c>
      <c r="Y30" s="264">
        <v>493301.43</v>
      </c>
      <c r="Z30" s="264">
        <v>309237.99</v>
      </c>
      <c r="AA30" s="264">
        <v>493301.43</v>
      </c>
      <c r="AB30" s="264">
        <v>309237.99</v>
      </c>
      <c r="AC30" s="264">
        <v>493301.43</v>
      </c>
      <c r="AD30" s="264">
        <v>309237.99</v>
      </c>
      <c r="AE30" s="264">
        <f t="shared" si="2"/>
        <v>453473.39458333328</v>
      </c>
      <c r="AF30" s="264">
        <f t="shared" si="0"/>
        <v>292124.66416666668</v>
      </c>
    </row>
    <row r="31" spans="1:32">
      <c r="A31" s="24">
        <v>23</v>
      </c>
      <c r="C31" s="4" t="s">
        <v>1772</v>
      </c>
      <c r="D31" s="4" t="str">
        <f t="shared" si="1"/>
        <v>00038</v>
      </c>
      <c r="E31" s="264">
        <v>0</v>
      </c>
      <c r="F31" s="264">
        <v>11145.130000000001</v>
      </c>
      <c r="G31" s="264">
        <v>0</v>
      </c>
      <c r="H31" s="264">
        <v>11145.130000000001</v>
      </c>
      <c r="I31" s="264">
        <v>0</v>
      </c>
      <c r="J31" s="264">
        <v>11145.130000000001</v>
      </c>
      <c r="K31" s="264">
        <v>0</v>
      </c>
      <c r="L31" s="264">
        <v>11145.130000000001</v>
      </c>
      <c r="M31" s="264">
        <v>0</v>
      </c>
      <c r="N31" s="264">
        <v>11145.130000000001</v>
      </c>
      <c r="O31" s="264">
        <v>0</v>
      </c>
      <c r="P31" s="264">
        <v>11145.130000000001</v>
      </c>
      <c r="Q31" s="264">
        <v>0</v>
      </c>
      <c r="R31" s="264">
        <v>11145.130000000001</v>
      </c>
      <c r="S31" s="264">
        <v>0</v>
      </c>
      <c r="T31" s="264">
        <v>11145.130000000001</v>
      </c>
      <c r="U31" s="264">
        <v>0</v>
      </c>
      <c r="V31" s="264">
        <v>11145.130000000001</v>
      </c>
      <c r="W31" s="264">
        <v>0</v>
      </c>
      <c r="X31" s="264">
        <v>11145.130000000001</v>
      </c>
      <c r="Y31" s="264">
        <v>0</v>
      </c>
      <c r="Z31" s="264">
        <v>11145.130000000001</v>
      </c>
      <c r="AA31" s="264">
        <v>0</v>
      </c>
      <c r="AB31" s="264">
        <v>11145.130000000001</v>
      </c>
      <c r="AC31" s="264">
        <v>0</v>
      </c>
      <c r="AD31" s="264">
        <v>11145.130000000001</v>
      </c>
      <c r="AE31" s="264">
        <f t="shared" si="2"/>
        <v>0</v>
      </c>
      <c r="AF31" s="264">
        <f t="shared" si="0"/>
        <v>11145.130000000003</v>
      </c>
    </row>
    <row r="32" spans="1:32">
      <c r="A32" s="24">
        <v>24</v>
      </c>
      <c r="C32" s="4" t="s">
        <v>1773</v>
      </c>
      <c r="D32" s="4" t="str">
        <f t="shared" si="1"/>
        <v>00038</v>
      </c>
      <c r="E32" s="264">
        <v>4663838.87</v>
      </c>
      <c r="F32" s="264">
        <v>953510.37</v>
      </c>
      <c r="G32" s="264">
        <v>4663838.87</v>
      </c>
      <c r="H32" s="264">
        <v>956157.87</v>
      </c>
      <c r="I32" s="264">
        <v>4663838.87</v>
      </c>
      <c r="J32" s="264">
        <v>960977.17</v>
      </c>
      <c r="K32" s="264">
        <v>4472664.3</v>
      </c>
      <c r="L32" s="264">
        <v>965796.47</v>
      </c>
      <c r="M32" s="264">
        <v>4472664.3</v>
      </c>
      <c r="N32" s="264">
        <v>1023293.96</v>
      </c>
      <c r="O32" s="264">
        <v>4472664.3</v>
      </c>
      <c r="P32" s="264">
        <v>1027915.71</v>
      </c>
      <c r="Q32" s="264">
        <v>4503031.37</v>
      </c>
      <c r="R32" s="264">
        <v>1032537.46</v>
      </c>
      <c r="S32" s="264">
        <v>4503031.37</v>
      </c>
      <c r="T32" s="264">
        <v>1037190.59</v>
      </c>
      <c r="U32" s="264">
        <v>4503031.37</v>
      </c>
      <c r="V32" s="264">
        <v>1041843.72</v>
      </c>
      <c r="W32" s="264">
        <v>4503031.37</v>
      </c>
      <c r="X32" s="264">
        <v>1046496.85</v>
      </c>
      <c r="Y32" s="264">
        <v>4503031.37</v>
      </c>
      <c r="Z32" s="264">
        <v>1051149.98</v>
      </c>
      <c r="AA32" s="264">
        <v>4503031.37</v>
      </c>
      <c r="AB32" s="264">
        <v>1055803.1100000001</v>
      </c>
      <c r="AC32" s="264">
        <v>4503031.37</v>
      </c>
      <c r="AD32" s="264">
        <v>1060456.24</v>
      </c>
      <c r="AE32" s="264">
        <f t="shared" si="2"/>
        <v>4528941.1649999991</v>
      </c>
      <c r="AF32" s="264">
        <f t="shared" si="0"/>
        <v>1017178.8495833332</v>
      </c>
    </row>
    <row r="33" spans="1:32">
      <c r="A33" s="24">
        <v>25</v>
      </c>
      <c r="C33" s="4" t="s">
        <v>1774</v>
      </c>
      <c r="D33" s="4" t="str">
        <f t="shared" si="1"/>
        <v>00038</v>
      </c>
      <c r="E33" s="264">
        <v>95752.02</v>
      </c>
      <c r="F33" s="264">
        <v>19866.060000000001</v>
      </c>
      <c r="G33" s="264">
        <v>76479.02</v>
      </c>
      <c r="H33" s="264">
        <v>1979.07</v>
      </c>
      <c r="I33" s="264">
        <v>76479.02</v>
      </c>
      <c r="J33" s="264">
        <v>3086.1</v>
      </c>
      <c r="K33" s="264">
        <v>76479.02</v>
      </c>
      <c r="L33" s="264">
        <v>4193.13</v>
      </c>
      <c r="M33" s="264">
        <v>76479.02</v>
      </c>
      <c r="N33" s="264">
        <v>5300.16</v>
      </c>
      <c r="O33" s="264">
        <v>76479.02</v>
      </c>
      <c r="P33" s="264">
        <v>6407.1900000000005</v>
      </c>
      <c r="Q33" s="264">
        <v>76479.02</v>
      </c>
      <c r="R33" s="264">
        <v>7514.22</v>
      </c>
      <c r="S33" s="264">
        <v>76479.02</v>
      </c>
      <c r="T33" s="264">
        <v>8621.25</v>
      </c>
      <c r="U33" s="264">
        <v>76479.02</v>
      </c>
      <c r="V33" s="264">
        <v>9728.2800000000007</v>
      </c>
      <c r="W33" s="264">
        <v>76479.02</v>
      </c>
      <c r="X33" s="264">
        <v>10835.31</v>
      </c>
      <c r="Y33" s="264">
        <v>76479.02</v>
      </c>
      <c r="Z33" s="264">
        <v>11942.34</v>
      </c>
      <c r="AA33" s="264">
        <v>76479.02</v>
      </c>
      <c r="AB33" s="264">
        <v>13049.37</v>
      </c>
      <c r="AC33" s="264">
        <v>76479.02</v>
      </c>
      <c r="AD33" s="264">
        <v>14156.4</v>
      </c>
      <c r="AE33" s="264">
        <f t="shared" si="2"/>
        <v>77282.061666666676</v>
      </c>
      <c r="AF33" s="264">
        <f t="shared" si="0"/>
        <v>8305.6374999999989</v>
      </c>
    </row>
    <row r="34" spans="1:32">
      <c r="A34" s="24">
        <v>26</v>
      </c>
      <c r="C34" s="4" t="s">
        <v>1775</v>
      </c>
      <c r="D34" s="4" t="str">
        <f t="shared" si="1"/>
        <v>00038</v>
      </c>
      <c r="E34" s="264">
        <v>109816.96000000001</v>
      </c>
      <c r="F34" s="264">
        <v>18119.98</v>
      </c>
      <c r="G34" s="264">
        <v>106237.48</v>
      </c>
      <c r="H34" s="264">
        <v>14996.24</v>
      </c>
      <c r="I34" s="264">
        <v>106237.48</v>
      </c>
      <c r="J34" s="264">
        <v>15437.130000000001</v>
      </c>
      <c r="K34" s="264">
        <v>106237.48</v>
      </c>
      <c r="L34" s="264">
        <v>15878.02</v>
      </c>
      <c r="M34" s="264">
        <v>106237.48</v>
      </c>
      <c r="N34" s="264">
        <v>16318.91</v>
      </c>
      <c r="O34" s="264">
        <v>106237.48</v>
      </c>
      <c r="P34" s="264">
        <v>16759.8</v>
      </c>
      <c r="Q34" s="264">
        <v>106237.48</v>
      </c>
      <c r="R34" s="264">
        <v>17200.689999999999</v>
      </c>
      <c r="S34" s="264">
        <v>106237.48</v>
      </c>
      <c r="T34" s="264">
        <v>17641.580000000002</v>
      </c>
      <c r="U34" s="264">
        <v>106237.48</v>
      </c>
      <c r="V34" s="264">
        <v>18082.47</v>
      </c>
      <c r="W34" s="264">
        <v>106237.48</v>
      </c>
      <c r="X34" s="264">
        <v>18523.36</v>
      </c>
      <c r="Y34" s="264">
        <v>106237.48</v>
      </c>
      <c r="Z34" s="264">
        <v>18964.25</v>
      </c>
      <c r="AA34" s="264">
        <v>106237.48</v>
      </c>
      <c r="AB34" s="264">
        <v>19405.14</v>
      </c>
      <c r="AC34" s="264">
        <v>106237.48</v>
      </c>
      <c r="AD34" s="264">
        <v>19846.03</v>
      </c>
      <c r="AE34" s="264">
        <f t="shared" si="2"/>
        <v>106386.625</v>
      </c>
      <c r="AF34" s="264">
        <f t="shared" si="0"/>
        <v>17349.216250000001</v>
      </c>
    </row>
    <row r="35" spans="1:32">
      <c r="A35" s="24">
        <v>27</v>
      </c>
      <c r="C35" s="4" t="s">
        <v>1776</v>
      </c>
      <c r="D35" s="4" t="str">
        <f t="shared" si="1"/>
        <v>00038</v>
      </c>
      <c r="E35" s="264">
        <v>134180.20000000001</v>
      </c>
      <c r="F35" s="264">
        <v>94636.51</v>
      </c>
      <c r="G35" s="264">
        <v>134180.20000000001</v>
      </c>
      <c r="H35" s="264">
        <v>94988.73</v>
      </c>
      <c r="I35" s="264">
        <v>134180.20000000001</v>
      </c>
      <c r="J35" s="264">
        <v>95340.95</v>
      </c>
      <c r="K35" s="264">
        <v>134180.20000000001</v>
      </c>
      <c r="L35" s="264">
        <v>95693.17</v>
      </c>
      <c r="M35" s="264">
        <v>134180.20000000001</v>
      </c>
      <c r="N35" s="264">
        <v>96045.39</v>
      </c>
      <c r="O35" s="264">
        <v>134180.20000000001</v>
      </c>
      <c r="P35" s="264">
        <v>96397.61</v>
      </c>
      <c r="Q35" s="264">
        <v>134180.20000000001</v>
      </c>
      <c r="R35" s="264">
        <v>97449.83</v>
      </c>
      <c r="S35" s="264">
        <v>134180.20000000001</v>
      </c>
      <c r="T35" s="264">
        <v>97802.05</v>
      </c>
      <c r="U35" s="264">
        <v>134180.20000000001</v>
      </c>
      <c r="V35" s="264">
        <v>98154.27</v>
      </c>
      <c r="W35" s="264">
        <v>134180.20000000001</v>
      </c>
      <c r="X35" s="264">
        <v>98506.49</v>
      </c>
      <c r="Y35" s="264">
        <v>129342.7</v>
      </c>
      <c r="Z35" s="264">
        <v>94021.21</v>
      </c>
      <c r="AA35" s="264">
        <v>129342.7</v>
      </c>
      <c r="AB35" s="264">
        <v>94360.73</v>
      </c>
      <c r="AC35" s="264">
        <v>129342.7</v>
      </c>
      <c r="AD35" s="264">
        <v>94700.25</v>
      </c>
      <c r="AE35" s="264">
        <f t="shared" si="2"/>
        <v>133172.38749999998</v>
      </c>
      <c r="AF35" s="264">
        <f t="shared" si="0"/>
        <v>96119.067500000005</v>
      </c>
    </row>
    <row r="36" spans="1:32">
      <c r="A36" s="24">
        <v>28</v>
      </c>
      <c r="C36" s="4" t="s">
        <v>1777</v>
      </c>
      <c r="D36" s="4" t="str">
        <f t="shared" si="1"/>
        <v>00038</v>
      </c>
      <c r="E36" s="264">
        <v>3269505.08</v>
      </c>
      <c r="F36" s="264">
        <v>1139452.31</v>
      </c>
      <c r="G36" s="264">
        <v>3268747.02</v>
      </c>
      <c r="H36" s="264">
        <v>1156208.53</v>
      </c>
      <c r="I36" s="264">
        <v>3264607.26</v>
      </c>
      <c r="J36" s="264">
        <v>1172960.8600000001</v>
      </c>
      <c r="K36" s="264">
        <v>3264177.16</v>
      </c>
      <c r="L36" s="264">
        <v>1189691.98</v>
      </c>
      <c r="M36" s="264">
        <v>3171083.53</v>
      </c>
      <c r="N36" s="264">
        <v>1118467.5</v>
      </c>
      <c r="O36" s="264">
        <v>3276918.55</v>
      </c>
      <c r="P36" s="264">
        <v>1145419.3</v>
      </c>
      <c r="Q36" s="264">
        <v>3308036.71</v>
      </c>
      <c r="R36" s="264">
        <v>1162213.51</v>
      </c>
      <c r="S36" s="264">
        <v>3336005.32</v>
      </c>
      <c r="T36" s="264">
        <v>1179167.2</v>
      </c>
      <c r="U36" s="264">
        <v>3401129.25</v>
      </c>
      <c r="V36" s="264">
        <v>1165480.1200000001</v>
      </c>
      <c r="W36" s="264">
        <v>3436589.67</v>
      </c>
      <c r="X36" s="264">
        <v>1180410.9099999999</v>
      </c>
      <c r="Y36" s="264">
        <v>3434686.6</v>
      </c>
      <c r="Z36" s="264">
        <v>1198023.44</v>
      </c>
      <c r="AA36" s="264">
        <v>3311139.81</v>
      </c>
      <c r="AB36" s="264">
        <v>1134439.42</v>
      </c>
      <c r="AC36" s="264">
        <v>3417540.39</v>
      </c>
      <c r="AD36" s="264">
        <v>1151409.01</v>
      </c>
      <c r="AE36" s="264">
        <f t="shared" si="2"/>
        <v>3318053.6345833335</v>
      </c>
      <c r="AF36" s="264">
        <f t="shared" si="0"/>
        <v>1162326.1191666666</v>
      </c>
    </row>
    <row r="37" spans="1:32">
      <c r="A37" s="24">
        <v>29</v>
      </c>
      <c r="C37" s="4" t="s">
        <v>1778</v>
      </c>
      <c r="D37" s="4" t="str">
        <f t="shared" si="1"/>
        <v>00038</v>
      </c>
      <c r="E37" s="264">
        <v>0</v>
      </c>
      <c r="F37" s="264">
        <v>0</v>
      </c>
      <c r="G37" s="264">
        <v>0</v>
      </c>
      <c r="H37" s="264">
        <v>0</v>
      </c>
      <c r="I37" s="264">
        <v>0</v>
      </c>
      <c r="J37" s="264">
        <v>0</v>
      </c>
      <c r="K37" s="264">
        <v>0</v>
      </c>
      <c r="L37" s="264">
        <v>0</v>
      </c>
      <c r="M37" s="264">
        <v>0</v>
      </c>
      <c r="N37" s="264">
        <v>0</v>
      </c>
      <c r="O37" s="264">
        <v>0</v>
      </c>
      <c r="P37" s="264">
        <v>0</v>
      </c>
      <c r="Q37" s="264">
        <v>0</v>
      </c>
      <c r="R37" s="264">
        <v>0</v>
      </c>
      <c r="S37" s="264">
        <v>0</v>
      </c>
      <c r="T37" s="264">
        <v>0</v>
      </c>
      <c r="U37" s="264">
        <v>0</v>
      </c>
      <c r="V37" s="264">
        <v>0</v>
      </c>
      <c r="W37" s="264">
        <v>0</v>
      </c>
      <c r="X37" s="264">
        <v>0</v>
      </c>
      <c r="Y37" s="264">
        <v>0</v>
      </c>
      <c r="Z37" s="264">
        <v>0</v>
      </c>
      <c r="AA37" s="264">
        <v>0</v>
      </c>
      <c r="AB37" s="264">
        <v>0</v>
      </c>
      <c r="AC37" s="264">
        <v>0</v>
      </c>
      <c r="AD37" s="264">
        <v>0</v>
      </c>
      <c r="AE37" s="264">
        <f t="shared" si="2"/>
        <v>0</v>
      </c>
      <c r="AF37" s="264">
        <f t="shared" si="0"/>
        <v>0</v>
      </c>
    </row>
    <row r="38" spans="1:32">
      <c r="A38" s="24">
        <v>30</v>
      </c>
      <c r="C38" s="4" t="s">
        <v>1779</v>
      </c>
      <c r="D38" s="4" t="str">
        <f t="shared" si="1"/>
        <v>00038</v>
      </c>
      <c r="E38" s="264">
        <v>1249569.52</v>
      </c>
      <c r="F38" s="264">
        <v>351955.78</v>
      </c>
      <c r="G38" s="264">
        <v>1235682.6299999999</v>
      </c>
      <c r="H38" s="264">
        <v>341775.95</v>
      </c>
      <c r="I38" s="264">
        <v>1235682.6299999999</v>
      </c>
      <c r="J38" s="264">
        <v>345441.81</v>
      </c>
      <c r="K38" s="264">
        <v>1191740.79</v>
      </c>
      <c r="L38" s="264">
        <v>305165.83</v>
      </c>
      <c r="M38" s="264">
        <v>1191740.79</v>
      </c>
      <c r="N38" s="264">
        <v>308701.33</v>
      </c>
      <c r="O38" s="264">
        <v>1191740.79</v>
      </c>
      <c r="P38" s="264">
        <v>312236.83</v>
      </c>
      <c r="Q38" s="264">
        <v>1242502.31</v>
      </c>
      <c r="R38" s="264">
        <v>315772.33</v>
      </c>
      <c r="S38" s="264">
        <v>1242502.31</v>
      </c>
      <c r="T38" s="264">
        <v>319458.42</v>
      </c>
      <c r="U38" s="264">
        <v>1243203.67</v>
      </c>
      <c r="V38" s="264">
        <v>323144.51</v>
      </c>
      <c r="W38" s="264">
        <v>1245869.3900000001</v>
      </c>
      <c r="X38" s="264">
        <v>326832.68</v>
      </c>
      <c r="Y38" s="264">
        <v>1258973.99</v>
      </c>
      <c r="Z38" s="264">
        <v>330528.76</v>
      </c>
      <c r="AA38" s="264">
        <v>1258973.99</v>
      </c>
      <c r="AB38" s="264">
        <v>334263.72000000003</v>
      </c>
      <c r="AC38" s="264">
        <v>1274963.3900000001</v>
      </c>
      <c r="AD38" s="264">
        <v>337998.68</v>
      </c>
      <c r="AE38" s="264">
        <f t="shared" si="2"/>
        <v>1233406.6454166668</v>
      </c>
      <c r="AF38" s="264">
        <f t="shared" si="0"/>
        <v>325691.61666666676</v>
      </c>
    </row>
    <row r="39" spans="1:32">
      <c r="A39" s="24">
        <v>31</v>
      </c>
      <c r="C39" s="4" t="s">
        <v>1780</v>
      </c>
      <c r="D39" s="4" t="str">
        <f t="shared" si="1"/>
        <v>00038</v>
      </c>
      <c r="E39" s="264">
        <v>762893.03</v>
      </c>
      <c r="F39" s="264">
        <v>-192533.71</v>
      </c>
      <c r="G39" s="264">
        <v>751342.85</v>
      </c>
      <c r="H39" s="264">
        <v>-219726.51</v>
      </c>
      <c r="I39" s="264">
        <v>751342.85</v>
      </c>
      <c r="J39" s="264">
        <v>-216483.21</v>
      </c>
      <c r="K39" s="264">
        <v>751342.85</v>
      </c>
      <c r="L39" s="264">
        <v>-213239.91</v>
      </c>
      <c r="M39" s="264">
        <v>751342.85</v>
      </c>
      <c r="N39" s="264">
        <v>-209996.61000000002</v>
      </c>
      <c r="O39" s="264">
        <v>751342.85</v>
      </c>
      <c r="P39" s="264">
        <v>-206753.31</v>
      </c>
      <c r="Q39" s="264">
        <v>701039.87</v>
      </c>
      <c r="R39" s="264">
        <v>-202135.01</v>
      </c>
      <c r="S39" s="264">
        <v>701039.87</v>
      </c>
      <c r="T39" s="264">
        <v>-199108.85</v>
      </c>
      <c r="U39" s="264">
        <v>682167.97</v>
      </c>
      <c r="V39" s="264">
        <v>-289476.39</v>
      </c>
      <c r="W39" s="264">
        <v>682167.97</v>
      </c>
      <c r="X39" s="264">
        <v>-286531.7</v>
      </c>
      <c r="Y39" s="264">
        <v>668987.59</v>
      </c>
      <c r="Z39" s="264">
        <v>-295567.39</v>
      </c>
      <c r="AA39" s="264">
        <v>668987.59</v>
      </c>
      <c r="AB39" s="264">
        <v>-292679.60000000003</v>
      </c>
      <c r="AC39" s="264">
        <v>668987.59</v>
      </c>
      <c r="AD39" s="264">
        <v>-289041.81</v>
      </c>
      <c r="AE39" s="264">
        <f t="shared" si="2"/>
        <v>714753.78500000003</v>
      </c>
      <c r="AF39" s="264">
        <f t="shared" si="0"/>
        <v>-239373.85416666666</v>
      </c>
    </row>
    <row r="40" spans="1:32">
      <c r="A40" s="24">
        <v>32</v>
      </c>
      <c r="C40" s="4" t="s">
        <v>1781</v>
      </c>
      <c r="D40" s="4" t="str">
        <f t="shared" si="1"/>
        <v>00038</v>
      </c>
      <c r="E40" s="264">
        <v>282215.55</v>
      </c>
      <c r="F40" s="264">
        <v>54221.94</v>
      </c>
      <c r="G40" s="264">
        <v>282215.55</v>
      </c>
      <c r="H40" s="264">
        <v>54955.700000000004</v>
      </c>
      <c r="I40" s="264">
        <v>295144.49</v>
      </c>
      <c r="J40" s="264">
        <v>55689.46</v>
      </c>
      <c r="K40" s="264">
        <v>295264.92</v>
      </c>
      <c r="L40" s="264">
        <v>56456.840000000004</v>
      </c>
      <c r="M40" s="264">
        <v>295264.92</v>
      </c>
      <c r="N40" s="264">
        <v>57224.53</v>
      </c>
      <c r="O40" s="264">
        <v>295264.92</v>
      </c>
      <c r="P40" s="264">
        <v>57992.22</v>
      </c>
      <c r="Q40" s="264">
        <v>295264.92</v>
      </c>
      <c r="R40" s="264">
        <v>58759.91</v>
      </c>
      <c r="S40" s="264">
        <v>295264.92</v>
      </c>
      <c r="T40" s="264">
        <v>59527.6</v>
      </c>
      <c r="U40" s="264">
        <v>295264.92</v>
      </c>
      <c r="V40" s="264">
        <v>60295.29</v>
      </c>
      <c r="W40" s="264">
        <v>278979.77</v>
      </c>
      <c r="X40" s="264">
        <v>50427.83</v>
      </c>
      <c r="Y40" s="264">
        <v>278979.77</v>
      </c>
      <c r="Z40" s="264">
        <v>51153.18</v>
      </c>
      <c r="AA40" s="264">
        <v>278979.77</v>
      </c>
      <c r="AB40" s="264">
        <v>51878.53</v>
      </c>
      <c r="AC40" s="264">
        <v>278979.77</v>
      </c>
      <c r="AD40" s="264">
        <v>52603.880000000005</v>
      </c>
      <c r="AE40" s="264">
        <f t="shared" si="2"/>
        <v>288873.8775</v>
      </c>
      <c r="AF40" s="264">
        <f t="shared" si="0"/>
        <v>55647.833333333343</v>
      </c>
    </row>
    <row r="41" spans="1:32">
      <c r="A41" s="24">
        <v>33</v>
      </c>
      <c r="C41" s="4" t="s">
        <v>1782</v>
      </c>
      <c r="D41" s="4" t="str">
        <f t="shared" si="1"/>
        <v>00038</v>
      </c>
      <c r="E41" s="264">
        <v>190417.76</v>
      </c>
      <c r="F41" s="264">
        <v>88118.38</v>
      </c>
      <c r="G41" s="264">
        <v>190417.76</v>
      </c>
      <c r="H41" s="264">
        <v>88841.97</v>
      </c>
      <c r="I41" s="264">
        <v>190417.76</v>
      </c>
      <c r="J41" s="264">
        <v>89565.56</v>
      </c>
      <c r="K41" s="264">
        <v>190417.76</v>
      </c>
      <c r="L41" s="264">
        <v>90289.150000000009</v>
      </c>
      <c r="M41" s="264">
        <v>190417.76</v>
      </c>
      <c r="N41" s="264">
        <v>91012.74</v>
      </c>
      <c r="O41" s="264">
        <v>190417.76</v>
      </c>
      <c r="P41" s="264">
        <v>91736.33</v>
      </c>
      <c r="Q41" s="264">
        <v>190417.76</v>
      </c>
      <c r="R41" s="264">
        <v>92459.92</v>
      </c>
      <c r="S41" s="264">
        <v>190417.76</v>
      </c>
      <c r="T41" s="264">
        <v>93183.51</v>
      </c>
      <c r="U41" s="264">
        <v>190417.76</v>
      </c>
      <c r="V41" s="264">
        <v>93907.1</v>
      </c>
      <c r="W41" s="264">
        <v>190417.76</v>
      </c>
      <c r="X41" s="264">
        <v>94630.69</v>
      </c>
      <c r="Y41" s="264">
        <v>190417.76</v>
      </c>
      <c r="Z41" s="264">
        <v>95354.28</v>
      </c>
      <c r="AA41" s="264">
        <v>190417.76</v>
      </c>
      <c r="AB41" s="264">
        <v>96077.87</v>
      </c>
      <c r="AC41" s="264">
        <v>190417.76</v>
      </c>
      <c r="AD41" s="264">
        <v>96801.46</v>
      </c>
      <c r="AE41" s="264">
        <f t="shared" si="2"/>
        <v>190417.76</v>
      </c>
      <c r="AF41" s="264">
        <f t="shared" si="0"/>
        <v>92459.92</v>
      </c>
    </row>
    <row r="42" spans="1:32">
      <c r="A42" s="24">
        <v>34</v>
      </c>
      <c r="C42" s="4" t="s">
        <v>1783</v>
      </c>
      <c r="D42" s="4" t="str">
        <f t="shared" si="1"/>
        <v>00038</v>
      </c>
      <c r="E42" s="264">
        <v>277306.52</v>
      </c>
      <c r="F42" s="264">
        <v>16909.22</v>
      </c>
      <c r="G42" s="264">
        <v>275688.77</v>
      </c>
      <c r="H42" s="264">
        <v>17456.77</v>
      </c>
      <c r="I42" s="264">
        <v>275688.77</v>
      </c>
      <c r="J42" s="264">
        <v>19609.439999999999</v>
      </c>
      <c r="K42" s="264">
        <v>275688.77</v>
      </c>
      <c r="L42" s="264">
        <v>21762.11</v>
      </c>
      <c r="M42" s="264">
        <v>275688.77</v>
      </c>
      <c r="N42" s="264">
        <v>23914.78</v>
      </c>
      <c r="O42" s="264">
        <v>275688.77</v>
      </c>
      <c r="P42" s="264">
        <v>26067.45</v>
      </c>
      <c r="Q42" s="264">
        <v>275688.77</v>
      </c>
      <c r="R42" s="264">
        <v>28220.12</v>
      </c>
      <c r="S42" s="264">
        <v>275688.77</v>
      </c>
      <c r="T42" s="264">
        <v>30372.79</v>
      </c>
      <c r="U42" s="264">
        <v>275688.77</v>
      </c>
      <c r="V42" s="264">
        <v>32525.46</v>
      </c>
      <c r="W42" s="264">
        <v>275688.77</v>
      </c>
      <c r="X42" s="264">
        <v>34678.129999999997</v>
      </c>
      <c r="Y42" s="264">
        <v>275688.77</v>
      </c>
      <c r="Z42" s="264">
        <v>36830.800000000003</v>
      </c>
      <c r="AA42" s="264">
        <v>275688.77</v>
      </c>
      <c r="AB42" s="264">
        <v>38983.47</v>
      </c>
      <c r="AC42" s="264">
        <v>295285.8</v>
      </c>
      <c r="AD42" s="264">
        <v>41136.14</v>
      </c>
      <c r="AE42" s="264">
        <f t="shared" si="2"/>
        <v>276572.71916666668</v>
      </c>
      <c r="AF42" s="264">
        <f t="shared" si="0"/>
        <v>28287.000000000004</v>
      </c>
    </row>
    <row r="43" spans="1:32">
      <c r="A43" s="24">
        <v>35</v>
      </c>
      <c r="C43" s="4" t="s">
        <v>1784</v>
      </c>
      <c r="D43" s="4" t="str">
        <f t="shared" si="1"/>
        <v>00038</v>
      </c>
      <c r="E43" s="264">
        <v>739181.59</v>
      </c>
      <c r="F43" s="264">
        <v>610711.89</v>
      </c>
      <c r="G43" s="264">
        <v>739181.59</v>
      </c>
      <c r="H43" s="264">
        <v>610791.97</v>
      </c>
      <c r="I43" s="264">
        <v>739181.59</v>
      </c>
      <c r="J43" s="264">
        <v>610872.05000000005</v>
      </c>
      <c r="K43" s="264">
        <v>742560.91</v>
      </c>
      <c r="L43" s="264">
        <v>610952.13</v>
      </c>
      <c r="M43" s="264">
        <v>742560.91</v>
      </c>
      <c r="N43" s="264">
        <v>611032.57000000007</v>
      </c>
      <c r="O43" s="264">
        <v>742560.91</v>
      </c>
      <c r="P43" s="264">
        <v>611113.01</v>
      </c>
      <c r="Q43" s="264">
        <v>742560.91</v>
      </c>
      <c r="R43" s="264">
        <v>611193.45000000007</v>
      </c>
      <c r="S43" s="264">
        <v>742560.91</v>
      </c>
      <c r="T43" s="264">
        <v>611273.89</v>
      </c>
      <c r="U43" s="264">
        <v>742560.91</v>
      </c>
      <c r="V43" s="264">
        <v>611354.32999999996</v>
      </c>
      <c r="W43" s="264">
        <v>742560.91</v>
      </c>
      <c r="X43" s="264">
        <v>611434.77</v>
      </c>
      <c r="Y43" s="264">
        <v>742560.91</v>
      </c>
      <c r="Z43" s="264">
        <v>611515.21</v>
      </c>
      <c r="AA43" s="264">
        <v>742560.91</v>
      </c>
      <c r="AB43" s="264">
        <v>611595.65</v>
      </c>
      <c r="AC43" s="264">
        <v>742560.91</v>
      </c>
      <c r="AD43" s="264">
        <v>611676.09</v>
      </c>
      <c r="AE43" s="264">
        <f t="shared" si="2"/>
        <v>741856.88500000013</v>
      </c>
      <c r="AF43" s="264">
        <f t="shared" si="0"/>
        <v>611193.58500000008</v>
      </c>
    </row>
    <row r="44" spans="1:32">
      <c r="A44" s="24">
        <v>36</v>
      </c>
      <c r="C44" s="4" t="s">
        <v>1785</v>
      </c>
      <c r="D44" s="4" t="str">
        <f t="shared" si="1"/>
        <v>00038</v>
      </c>
      <c r="E44" s="264">
        <v>116694.26000000001</v>
      </c>
      <c r="F44" s="264">
        <v>67489.430000000008</v>
      </c>
      <c r="G44" s="264">
        <v>116694.26000000001</v>
      </c>
      <c r="H44" s="264">
        <v>68382.14</v>
      </c>
      <c r="I44" s="264">
        <v>116694.26000000001</v>
      </c>
      <c r="J44" s="264">
        <v>69274.850000000006</v>
      </c>
      <c r="K44" s="264">
        <v>116694.26000000001</v>
      </c>
      <c r="L44" s="264">
        <v>70167.56</v>
      </c>
      <c r="M44" s="264">
        <v>116694.26000000001</v>
      </c>
      <c r="N44" s="264">
        <v>71060.27</v>
      </c>
      <c r="O44" s="264">
        <v>116694.26000000001</v>
      </c>
      <c r="P44" s="264">
        <v>71952.98</v>
      </c>
      <c r="Q44" s="264">
        <v>116694.26000000001</v>
      </c>
      <c r="R44" s="264">
        <v>72845.69</v>
      </c>
      <c r="S44" s="264">
        <v>116694.26000000001</v>
      </c>
      <c r="T44" s="264">
        <v>73738.400000000009</v>
      </c>
      <c r="U44" s="264">
        <v>116694.26000000001</v>
      </c>
      <c r="V44" s="264">
        <v>74631.11</v>
      </c>
      <c r="W44" s="264">
        <v>116694.26000000001</v>
      </c>
      <c r="X44" s="264">
        <v>75523.820000000007</v>
      </c>
      <c r="Y44" s="264">
        <v>116694.26000000001</v>
      </c>
      <c r="Z44" s="264">
        <v>76416.53</v>
      </c>
      <c r="AA44" s="264">
        <v>116694.26000000001</v>
      </c>
      <c r="AB44" s="264">
        <v>77309.240000000005</v>
      </c>
      <c r="AC44" s="264">
        <v>116694.26000000001</v>
      </c>
      <c r="AD44" s="264">
        <v>78201.95</v>
      </c>
      <c r="AE44" s="264">
        <f t="shared" si="2"/>
        <v>116694.26000000001</v>
      </c>
      <c r="AF44" s="264">
        <f t="shared" si="0"/>
        <v>72845.69</v>
      </c>
    </row>
    <row r="45" spans="1:32">
      <c r="A45" s="24">
        <v>37</v>
      </c>
      <c r="C45" s="4" t="s">
        <v>1786</v>
      </c>
      <c r="D45" s="4" t="str">
        <f t="shared" si="1"/>
        <v>00038</v>
      </c>
      <c r="E45" s="264">
        <v>7208.81</v>
      </c>
      <c r="F45" s="264">
        <v>-2917.36</v>
      </c>
      <c r="G45" s="264">
        <v>7208.81</v>
      </c>
      <c r="H45" s="264">
        <v>-2854.2200000000003</v>
      </c>
      <c r="I45" s="264">
        <v>7208.81</v>
      </c>
      <c r="J45" s="264">
        <v>-2791.08</v>
      </c>
      <c r="K45" s="264">
        <v>7208.81</v>
      </c>
      <c r="L45" s="264">
        <v>-2727.94</v>
      </c>
      <c r="M45" s="264">
        <v>7208.81</v>
      </c>
      <c r="N45" s="264">
        <v>-2664.8</v>
      </c>
      <c r="O45" s="264">
        <v>7208.81</v>
      </c>
      <c r="P45" s="264">
        <v>-2601.66</v>
      </c>
      <c r="Q45" s="264">
        <v>7208.81</v>
      </c>
      <c r="R45" s="264">
        <v>-2538.52</v>
      </c>
      <c r="S45" s="264">
        <v>7208.81</v>
      </c>
      <c r="T45" s="264">
        <v>-2475.38</v>
      </c>
      <c r="U45" s="264">
        <v>7208.81</v>
      </c>
      <c r="V45" s="264">
        <v>-2412.2400000000002</v>
      </c>
      <c r="W45" s="264">
        <v>7208.81</v>
      </c>
      <c r="X45" s="264">
        <v>-2349.1</v>
      </c>
      <c r="Y45" s="264">
        <v>7208.81</v>
      </c>
      <c r="Z45" s="264">
        <v>-2285.96</v>
      </c>
      <c r="AA45" s="264">
        <v>7208.81</v>
      </c>
      <c r="AB45" s="264">
        <v>-2222.8200000000002</v>
      </c>
      <c r="AC45" s="264">
        <v>7208.81</v>
      </c>
      <c r="AD45" s="264">
        <v>-2159.6799999999998</v>
      </c>
      <c r="AE45" s="264">
        <f t="shared" si="2"/>
        <v>7208.8099999999986</v>
      </c>
      <c r="AF45" s="264">
        <f t="shared" si="0"/>
        <v>-2538.52</v>
      </c>
    </row>
    <row r="46" spans="1:32">
      <c r="A46" s="24">
        <v>38</v>
      </c>
      <c r="B46" s="266" t="s">
        <v>75</v>
      </c>
      <c r="C46" s="267"/>
      <c r="D46" s="266" t="s">
        <v>1787</v>
      </c>
      <c r="E46" s="268">
        <f t="shared" ref="E46:AF46" si="3">SUBTOTAL(9,E10:E45)</f>
        <v>166219892.83000007</v>
      </c>
      <c r="F46" s="268">
        <f t="shared" si="3"/>
        <v>80705966.12000002</v>
      </c>
      <c r="G46" s="268">
        <f t="shared" si="3"/>
        <v>166170977.93000001</v>
      </c>
      <c r="H46" s="268">
        <f t="shared" si="3"/>
        <v>81956066.480000004</v>
      </c>
      <c r="I46" s="268">
        <f t="shared" si="3"/>
        <v>166354838.25999999</v>
      </c>
      <c r="J46" s="268">
        <f t="shared" si="3"/>
        <v>82303533.879999995</v>
      </c>
      <c r="K46" s="268">
        <f t="shared" si="3"/>
        <v>166799471.37999997</v>
      </c>
      <c r="L46" s="268">
        <f t="shared" si="3"/>
        <v>82630691.260000005</v>
      </c>
      <c r="M46" s="268">
        <f t="shared" si="3"/>
        <v>167119466.22999996</v>
      </c>
      <c r="N46" s="268">
        <f t="shared" si="3"/>
        <v>83048741.769999966</v>
      </c>
      <c r="O46" s="268">
        <f t="shared" si="3"/>
        <v>167560879.63</v>
      </c>
      <c r="P46" s="268">
        <f t="shared" si="3"/>
        <v>83473613.359999985</v>
      </c>
      <c r="Q46" s="268">
        <f t="shared" si="3"/>
        <v>168385999.12</v>
      </c>
      <c r="R46" s="268">
        <f t="shared" si="3"/>
        <v>83882596.349999979</v>
      </c>
      <c r="S46" s="268">
        <f t="shared" si="3"/>
        <v>168732643.50999999</v>
      </c>
      <c r="T46" s="268">
        <f t="shared" si="3"/>
        <v>84297028.050000027</v>
      </c>
      <c r="U46" s="268">
        <f t="shared" si="3"/>
        <v>170207593.34999996</v>
      </c>
      <c r="V46" s="268">
        <f t="shared" si="3"/>
        <v>84575659.36999999</v>
      </c>
      <c r="W46" s="268">
        <f t="shared" si="3"/>
        <v>170629891.94999999</v>
      </c>
      <c r="X46" s="268">
        <f t="shared" si="3"/>
        <v>84951612.799999982</v>
      </c>
      <c r="Y46" s="268">
        <f t="shared" si="3"/>
        <v>171151546.11000001</v>
      </c>
      <c r="Z46" s="268">
        <f t="shared" si="3"/>
        <v>85352250.530000001</v>
      </c>
      <c r="AA46" s="268">
        <f t="shared" si="3"/>
        <v>171458875.71000004</v>
      </c>
      <c r="AB46" s="268">
        <f t="shared" si="3"/>
        <v>85685521.460000008</v>
      </c>
      <c r="AC46" s="268">
        <f t="shared" si="3"/>
        <v>173795321.89000002</v>
      </c>
      <c r="AD46" s="268">
        <f t="shared" si="3"/>
        <v>86090834.789999977</v>
      </c>
      <c r="AE46" s="268">
        <f t="shared" si="3"/>
        <v>168714982.54499999</v>
      </c>
      <c r="AF46" s="268">
        <f t="shared" si="3"/>
        <v>83796309.647083312</v>
      </c>
    </row>
    <row r="47" spans="1:32">
      <c r="A47" s="24">
        <v>39</v>
      </c>
      <c r="B47" s="262" t="s">
        <v>101</v>
      </c>
      <c r="C47" s="262" t="s">
        <v>378</v>
      </c>
      <c r="D47" s="26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row>
    <row r="48" spans="1:32">
      <c r="A48" s="24">
        <v>40</v>
      </c>
      <c r="C48" s="4" t="s">
        <v>1788</v>
      </c>
      <c r="D48" s="4" t="str">
        <f>RIGHT(C48,5)</f>
        <v>00048</v>
      </c>
      <c r="E48" s="264">
        <v>138157.95000000001</v>
      </c>
      <c r="F48" s="264">
        <v>138157.97</v>
      </c>
      <c r="G48" s="264">
        <v>138157.95000000001</v>
      </c>
      <c r="H48" s="264">
        <v>138157.97</v>
      </c>
      <c r="I48" s="264">
        <v>138157.95000000001</v>
      </c>
      <c r="J48" s="264">
        <v>138157.97</v>
      </c>
      <c r="K48" s="264">
        <v>138157.95000000001</v>
      </c>
      <c r="L48" s="264">
        <v>138157.97</v>
      </c>
      <c r="M48" s="264">
        <v>138157.95000000001</v>
      </c>
      <c r="N48" s="264">
        <v>138157.97</v>
      </c>
      <c r="O48" s="264">
        <v>138157.95000000001</v>
      </c>
      <c r="P48" s="264">
        <v>138157.97</v>
      </c>
      <c r="Q48" s="264">
        <v>138157.95000000001</v>
      </c>
      <c r="R48" s="264">
        <v>138157.97</v>
      </c>
      <c r="S48" s="264">
        <v>138157.95000000001</v>
      </c>
      <c r="T48" s="264">
        <v>138157.97</v>
      </c>
      <c r="U48" s="264">
        <v>138157.95000000001</v>
      </c>
      <c r="V48" s="264">
        <v>138157.97</v>
      </c>
      <c r="W48" s="264">
        <v>138157.95000000001</v>
      </c>
      <c r="X48" s="264">
        <v>138157.97</v>
      </c>
      <c r="Y48" s="264">
        <v>138157.95000000001</v>
      </c>
      <c r="Z48" s="264">
        <v>138157.97</v>
      </c>
      <c r="AA48" s="264">
        <v>138157.95000000001</v>
      </c>
      <c r="AB48" s="264">
        <v>138157.97</v>
      </c>
      <c r="AC48" s="264">
        <v>138157.95000000001</v>
      </c>
      <c r="AD48" s="264">
        <v>138157.97</v>
      </c>
      <c r="AE48" s="264">
        <f t="shared" ref="AE48:AF88" si="4">+(E48+AC48+(+G48+I48+K48+M48+O48+Q48+S48+U48+W48+Y48+AA48)*2)/24</f>
        <v>138157.94999999998</v>
      </c>
      <c r="AF48" s="264">
        <f t="shared" si="4"/>
        <v>138157.97</v>
      </c>
    </row>
    <row r="49" spans="1:32">
      <c r="A49" s="24">
        <v>41</v>
      </c>
      <c r="C49" s="4" t="s">
        <v>1789</v>
      </c>
      <c r="D49" s="265" t="s">
        <v>1790</v>
      </c>
      <c r="E49" s="264">
        <v>0</v>
      </c>
      <c r="F49" s="264">
        <v>0</v>
      </c>
      <c r="G49" s="264">
        <v>0</v>
      </c>
      <c r="H49" s="264">
        <v>0</v>
      </c>
      <c r="I49" s="264">
        <v>0</v>
      </c>
      <c r="J49" s="264">
        <v>0</v>
      </c>
      <c r="K49" s="264">
        <v>0</v>
      </c>
      <c r="L49" s="264">
        <v>0</v>
      </c>
      <c r="M49" s="264">
        <v>0</v>
      </c>
      <c r="N49" s="264">
        <v>0</v>
      </c>
      <c r="O49" s="264">
        <v>0</v>
      </c>
      <c r="P49" s="264">
        <v>0</v>
      </c>
      <c r="Q49" s="264">
        <v>0</v>
      </c>
      <c r="R49" s="264">
        <v>0</v>
      </c>
      <c r="S49" s="264">
        <v>0</v>
      </c>
      <c r="T49" s="264">
        <v>0</v>
      </c>
      <c r="U49" s="264">
        <v>0</v>
      </c>
      <c r="V49" s="264">
        <v>0</v>
      </c>
      <c r="W49" s="264">
        <v>0</v>
      </c>
      <c r="X49" s="264">
        <v>0</v>
      </c>
      <c r="Y49" s="264">
        <v>0</v>
      </c>
      <c r="Z49" s="264">
        <v>0</v>
      </c>
      <c r="AA49" s="264">
        <v>0</v>
      </c>
      <c r="AB49" s="264">
        <v>0</v>
      </c>
      <c r="AC49" s="264">
        <v>0</v>
      </c>
      <c r="AD49" s="264">
        <v>0</v>
      </c>
      <c r="AE49" s="264">
        <f t="shared" si="4"/>
        <v>0</v>
      </c>
      <c r="AF49" s="264">
        <f t="shared" si="4"/>
        <v>0</v>
      </c>
    </row>
    <row r="50" spans="1:32">
      <c r="A50" s="24">
        <v>42</v>
      </c>
      <c r="C50" s="4" t="s">
        <v>1791</v>
      </c>
      <c r="D50" s="265" t="s">
        <v>1790</v>
      </c>
      <c r="E50" s="264">
        <v>0</v>
      </c>
      <c r="F50" s="264">
        <v>0</v>
      </c>
      <c r="G50" s="264">
        <v>0</v>
      </c>
      <c r="H50" s="264">
        <v>0</v>
      </c>
      <c r="I50" s="264">
        <v>0</v>
      </c>
      <c r="J50" s="264">
        <v>0</v>
      </c>
      <c r="K50" s="264">
        <v>0</v>
      </c>
      <c r="L50" s="264">
        <v>0</v>
      </c>
      <c r="M50" s="264">
        <v>0</v>
      </c>
      <c r="N50" s="264">
        <v>0</v>
      </c>
      <c r="O50" s="264">
        <v>0</v>
      </c>
      <c r="P50" s="264">
        <v>0</v>
      </c>
      <c r="Q50" s="264">
        <v>0</v>
      </c>
      <c r="R50" s="264">
        <v>0</v>
      </c>
      <c r="S50" s="264">
        <v>45037.37</v>
      </c>
      <c r="T50" s="264">
        <v>1876.6000000000001</v>
      </c>
      <c r="U50" s="264">
        <v>45037.37</v>
      </c>
      <c r="V50" s="264">
        <v>1970.43</v>
      </c>
      <c r="W50" s="264">
        <v>45037.37</v>
      </c>
      <c r="X50" s="264">
        <v>2064.2600000000002</v>
      </c>
      <c r="Y50" s="264">
        <v>45037.37</v>
      </c>
      <c r="Z50" s="264">
        <v>2158.09</v>
      </c>
      <c r="AA50" s="264">
        <v>45037.37</v>
      </c>
      <c r="AB50" s="264">
        <v>2251.92</v>
      </c>
      <c r="AC50" s="264">
        <v>45037.37</v>
      </c>
      <c r="AD50" s="264">
        <v>2345.75</v>
      </c>
      <c r="AE50" s="264">
        <f t="shared" si="4"/>
        <v>20642.127916666668</v>
      </c>
      <c r="AF50" s="264">
        <f t="shared" si="4"/>
        <v>957.84791666666672</v>
      </c>
    </row>
    <row r="51" spans="1:32">
      <c r="A51" s="24">
        <v>43</v>
      </c>
      <c r="C51" s="4" t="s">
        <v>1792</v>
      </c>
      <c r="D51" s="265" t="s">
        <v>1790</v>
      </c>
      <c r="E51" s="264">
        <v>0</v>
      </c>
      <c r="F51" s="264">
        <v>0</v>
      </c>
      <c r="G51" s="264">
        <v>0</v>
      </c>
      <c r="H51" s="264">
        <v>0</v>
      </c>
      <c r="I51" s="264">
        <v>0</v>
      </c>
      <c r="J51" s="264">
        <v>0</v>
      </c>
      <c r="K51" s="264">
        <v>0</v>
      </c>
      <c r="L51" s="264">
        <v>0</v>
      </c>
      <c r="M51" s="264">
        <v>0</v>
      </c>
      <c r="N51" s="264">
        <v>0</v>
      </c>
      <c r="O51" s="264">
        <v>0</v>
      </c>
      <c r="P51" s="264">
        <v>0</v>
      </c>
      <c r="Q51" s="264">
        <v>0</v>
      </c>
      <c r="R51" s="264">
        <v>0</v>
      </c>
      <c r="S51" s="264">
        <v>1218966.19</v>
      </c>
      <c r="T51" s="264">
        <v>22371.94</v>
      </c>
      <c r="U51" s="264">
        <v>1218966.19</v>
      </c>
      <c r="V51" s="264">
        <v>24856.100000000002</v>
      </c>
      <c r="W51" s="264">
        <v>1218966.19</v>
      </c>
      <c r="X51" s="264">
        <v>27395.61</v>
      </c>
      <c r="Y51" s="264">
        <v>1218966.19</v>
      </c>
      <c r="Z51" s="264">
        <v>29935.119999999999</v>
      </c>
      <c r="AA51" s="264">
        <v>1218966.19</v>
      </c>
      <c r="AB51" s="264">
        <v>32474.63</v>
      </c>
      <c r="AC51" s="264">
        <v>1218966.19</v>
      </c>
      <c r="AD51" s="264">
        <v>35014.14</v>
      </c>
      <c r="AE51" s="264">
        <f t="shared" si="4"/>
        <v>558692.83708333329</v>
      </c>
      <c r="AF51" s="264">
        <f t="shared" si="4"/>
        <v>12878.372499999999</v>
      </c>
    </row>
    <row r="52" spans="1:32">
      <c r="A52" s="24">
        <v>44</v>
      </c>
      <c r="C52" s="4" t="s">
        <v>1793</v>
      </c>
      <c r="D52" s="4" t="str">
        <f t="shared" ref="D52:D88" si="5">RIGHT(C52,5)</f>
        <v>00048</v>
      </c>
      <c r="E52" s="264">
        <v>1462199.5</v>
      </c>
      <c r="F52" s="264">
        <v>13029.470000000001</v>
      </c>
      <c r="G52" s="264">
        <v>1462199.5</v>
      </c>
      <c r="H52" s="264">
        <v>24932.98</v>
      </c>
      <c r="I52" s="264">
        <v>1462199.5</v>
      </c>
      <c r="J52" s="264">
        <v>36836.5</v>
      </c>
      <c r="K52" s="264">
        <v>1462199.5</v>
      </c>
      <c r="L52" s="264">
        <v>13255.26</v>
      </c>
      <c r="M52" s="264">
        <v>1264003.56</v>
      </c>
      <c r="N52" s="264">
        <v>16301.630000000001</v>
      </c>
      <c r="O52" s="264">
        <v>1264003.56</v>
      </c>
      <c r="P52" s="264">
        <v>18930.740000000002</v>
      </c>
      <c r="Q52" s="264">
        <v>1264003.56</v>
      </c>
      <c r="R52" s="264">
        <v>21559.850000000002</v>
      </c>
      <c r="S52" s="264">
        <v>0</v>
      </c>
      <c r="T52" s="264">
        <v>-55.35</v>
      </c>
      <c r="U52" s="264">
        <v>0</v>
      </c>
      <c r="V52" s="264">
        <v>-55.35</v>
      </c>
      <c r="W52" s="264">
        <v>0</v>
      </c>
      <c r="X52" s="264">
        <v>-55.35</v>
      </c>
      <c r="Y52" s="264">
        <v>0</v>
      </c>
      <c r="Z52" s="264">
        <v>0</v>
      </c>
      <c r="AA52" s="264">
        <v>0</v>
      </c>
      <c r="AB52" s="264">
        <v>0</v>
      </c>
      <c r="AC52" s="264">
        <v>0</v>
      </c>
      <c r="AD52" s="264">
        <v>0</v>
      </c>
      <c r="AE52" s="264">
        <f t="shared" si="4"/>
        <v>742475.74416666676</v>
      </c>
      <c r="AF52" s="264">
        <f t="shared" si="4"/>
        <v>11513.803749999997</v>
      </c>
    </row>
    <row r="53" spans="1:32">
      <c r="A53" s="24">
        <v>45</v>
      </c>
      <c r="C53" s="4" t="s">
        <v>1794</v>
      </c>
      <c r="D53" s="4" t="str">
        <f t="shared" si="5"/>
        <v>00048</v>
      </c>
      <c r="E53" s="264">
        <v>211404.97</v>
      </c>
      <c r="F53" s="264">
        <v>0</v>
      </c>
      <c r="G53" s="264">
        <v>211404.97</v>
      </c>
      <c r="H53" s="264">
        <v>0</v>
      </c>
      <c r="I53" s="264">
        <v>211404.97</v>
      </c>
      <c r="J53" s="264">
        <v>0</v>
      </c>
      <c r="K53" s="264">
        <v>211404.97</v>
      </c>
      <c r="L53" s="264">
        <v>0</v>
      </c>
      <c r="M53" s="264">
        <v>211404.97</v>
      </c>
      <c r="N53" s="264">
        <v>0</v>
      </c>
      <c r="O53" s="264">
        <v>211404.97</v>
      </c>
      <c r="P53" s="264">
        <v>0</v>
      </c>
      <c r="Q53" s="264">
        <v>211404.97</v>
      </c>
      <c r="R53" s="264">
        <v>0</v>
      </c>
      <c r="S53" s="264">
        <v>211404.97</v>
      </c>
      <c r="T53" s="264">
        <v>0</v>
      </c>
      <c r="U53" s="264">
        <v>211404.97</v>
      </c>
      <c r="V53" s="264">
        <v>0</v>
      </c>
      <c r="W53" s="264">
        <v>211404.97</v>
      </c>
      <c r="X53" s="264">
        <v>0</v>
      </c>
      <c r="Y53" s="264">
        <v>211404.97</v>
      </c>
      <c r="Z53" s="264">
        <v>0</v>
      </c>
      <c r="AA53" s="264">
        <v>211404.97</v>
      </c>
      <c r="AB53" s="264">
        <v>0</v>
      </c>
      <c r="AC53" s="264">
        <v>211404.97</v>
      </c>
      <c r="AD53" s="264">
        <v>0</v>
      </c>
      <c r="AE53" s="264">
        <f t="shared" si="4"/>
        <v>211404.97000000006</v>
      </c>
      <c r="AF53" s="264">
        <f t="shared" si="4"/>
        <v>0</v>
      </c>
    </row>
    <row r="54" spans="1:32">
      <c r="A54" s="24">
        <v>46</v>
      </c>
      <c r="C54" s="4" t="s">
        <v>1795</v>
      </c>
      <c r="D54" s="4" t="str">
        <f t="shared" si="5"/>
        <v>00048</v>
      </c>
      <c r="E54" s="264">
        <v>1018396.75</v>
      </c>
      <c r="F54" s="264">
        <v>744741.84</v>
      </c>
      <c r="G54" s="264">
        <v>1018396.75</v>
      </c>
      <c r="H54" s="264">
        <v>746082.73</v>
      </c>
      <c r="I54" s="264">
        <v>1018396.75</v>
      </c>
      <c r="J54" s="264">
        <v>747423.62</v>
      </c>
      <c r="K54" s="264">
        <v>1018396.75</v>
      </c>
      <c r="L54" s="264">
        <v>748764.51</v>
      </c>
      <c r="M54" s="264">
        <v>1018396.75</v>
      </c>
      <c r="N54" s="264">
        <v>750105.4</v>
      </c>
      <c r="O54" s="264">
        <v>1018396.75</v>
      </c>
      <c r="P54" s="264">
        <v>751446.29</v>
      </c>
      <c r="Q54" s="264">
        <v>1018396.75</v>
      </c>
      <c r="R54" s="264">
        <v>752787.18</v>
      </c>
      <c r="S54" s="264">
        <v>1018396.75</v>
      </c>
      <c r="T54" s="264">
        <v>754128.07000000007</v>
      </c>
      <c r="U54" s="264">
        <v>1018396.75</v>
      </c>
      <c r="V54" s="264">
        <v>755468.96</v>
      </c>
      <c r="W54" s="264">
        <v>1018396.75</v>
      </c>
      <c r="X54" s="264">
        <v>756809.85</v>
      </c>
      <c r="Y54" s="264">
        <v>1018396.75</v>
      </c>
      <c r="Z54" s="264">
        <v>758150.74</v>
      </c>
      <c r="AA54" s="264">
        <v>1018396.75</v>
      </c>
      <c r="AB54" s="264">
        <v>759491.63</v>
      </c>
      <c r="AC54" s="264">
        <v>1018396.75</v>
      </c>
      <c r="AD54" s="264">
        <v>760832.52</v>
      </c>
      <c r="AE54" s="264">
        <f t="shared" si="4"/>
        <v>1018396.75</v>
      </c>
      <c r="AF54" s="264">
        <f t="shared" si="4"/>
        <v>752787.18</v>
      </c>
    </row>
    <row r="55" spans="1:32">
      <c r="A55" s="24">
        <v>47</v>
      </c>
      <c r="C55" s="4" t="s">
        <v>1796</v>
      </c>
      <c r="D55" s="4" t="str">
        <f t="shared" si="5"/>
        <v>00048</v>
      </c>
      <c r="E55" s="264">
        <v>15654814.939999999</v>
      </c>
      <c r="F55" s="264">
        <v>10457877.060000001</v>
      </c>
      <c r="G55" s="264">
        <v>15654814.939999999</v>
      </c>
      <c r="H55" s="264">
        <v>10481620.199999999</v>
      </c>
      <c r="I55" s="264">
        <v>15654814.939999999</v>
      </c>
      <c r="J55" s="264">
        <v>10505363.34</v>
      </c>
      <c r="K55" s="264">
        <v>15654814.939999999</v>
      </c>
      <c r="L55" s="264">
        <v>10529106.48</v>
      </c>
      <c r="M55" s="264">
        <v>15655125.16</v>
      </c>
      <c r="N55" s="264">
        <v>10552849.619999999</v>
      </c>
      <c r="O55" s="264">
        <v>15655125.16</v>
      </c>
      <c r="P55" s="264">
        <v>10576593.23</v>
      </c>
      <c r="Q55" s="264">
        <v>15655125.16</v>
      </c>
      <c r="R55" s="264">
        <v>10600336.84</v>
      </c>
      <c r="S55" s="264">
        <v>15655125.16</v>
      </c>
      <c r="T55" s="264">
        <v>10624080.449999999</v>
      </c>
      <c r="U55" s="264">
        <v>15655125.16</v>
      </c>
      <c r="V55" s="264">
        <v>10647824.060000001</v>
      </c>
      <c r="W55" s="264">
        <v>15655125.16</v>
      </c>
      <c r="X55" s="264">
        <v>10671567.67</v>
      </c>
      <c r="Y55" s="264">
        <v>15655125.16</v>
      </c>
      <c r="Z55" s="264">
        <v>10695311.279999999</v>
      </c>
      <c r="AA55" s="264">
        <v>15655125.16</v>
      </c>
      <c r="AB55" s="264">
        <v>10719054.890000001</v>
      </c>
      <c r="AC55" s="264">
        <v>15655125.16</v>
      </c>
      <c r="AD55" s="264">
        <v>10742798.5</v>
      </c>
      <c r="AE55" s="264">
        <f t="shared" si="4"/>
        <v>15655034.679166667</v>
      </c>
      <c r="AF55" s="264">
        <f t="shared" si="4"/>
        <v>10600337.153333334</v>
      </c>
    </row>
    <row r="56" spans="1:32">
      <c r="A56" s="24">
        <v>48</v>
      </c>
      <c r="C56" s="4" t="s">
        <v>1797</v>
      </c>
      <c r="D56" s="4" t="str">
        <f t="shared" si="5"/>
        <v>00048</v>
      </c>
      <c r="E56" s="264">
        <v>156138.81</v>
      </c>
      <c r="F56" s="264">
        <v>164120.37</v>
      </c>
      <c r="G56" s="264">
        <v>156138.81</v>
      </c>
      <c r="H56" s="264">
        <v>164173.71</v>
      </c>
      <c r="I56" s="264">
        <v>156138.81</v>
      </c>
      <c r="J56" s="264">
        <v>164227.05000000002</v>
      </c>
      <c r="K56" s="264">
        <v>156138.81</v>
      </c>
      <c r="L56" s="264">
        <v>164280.39000000001</v>
      </c>
      <c r="M56" s="264">
        <v>156138.81</v>
      </c>
      <c r="N56" s="264">
        <v>164333.73000000001</v>
      </c>
      <c r="O56" s="264">
        <v>156138.81</v>
      </c>
      <c r="P56" s="264">
        <v>164387.07</v>
      </c>
      <c r="Q56" s="264">
        <v>156138.81</v>
      </c>
      <c r="R56" s="264">
        <v>164440.41</v>
      </c>
      <c r="S56" s="264">
        <v>156138.81</v>
      </c>
      <c r="T56" s="264">
        <v>164493.75</v>
      </c>
      <c r="U56" s="264">
        <v>156138.81</v>
      </c>
      <c r="V56" s="264">
        <v>164547.09</v>
      </c>
      <c r="W56" s="264">
        <v>156138.81</v>
      </c>
      <c r="X56" s="264">
        <v>164600.43</v>
      </c>
      <c r="Y56" s="264">
        <v>156138.81</v>
      </c>
      <c r="Z56" s="264">
        <v>164653.76999999999</v>
      </c>
      <c r="AA56" s="264">
        <v>156138.81</v>
      </c>
      <c r="AB56" s="264">
        <v>164707.11000000002</v>
      </c>
      <c r="AC56" s="264">
        <v>156138.81</v>
      </c>
      <c r="AD56" s="264">
        <v>164760.45000000001</v>
      </c>
      <c r="AE56" s="264">
        <f t="shared" si="4"/>
        <v>156138.81000000003</v>
      </c>
      <c r="AF56" s="264">
        <f t="shared" si="4"/>
        <v>164440.41</v>
      </c>
    </row>
    <row r="57" spans="1:32">
      <c r="A57" s="24">
        <v>49</v>
      </c>
      <c r="C57" s="4" t="s">
        <v>1798</v>
      </c>
      <c r="D57" s="4" t="str">
        <f t="shared" si="5"/>
        <v>00048</v>
      </c>
      <c r="E57" s="264">
        <v>1922322.92</v>
      </c>
      <c r="F57" s="264">
        <v>603821.39</v>
      </c>
      <c r="G57" s="264">
        <v>1922322.92</v>
      </c>
      <c r="H57" s="264">
        <v>606833.03</v>
      </c>
      <c r="I57" s="264">
        <v>1922322.92</v>
      </c>
      <c r="J57" s="264">
        <v>609844.67000000004</v>
      </c>
      <c r="K57" s="264">
        <v>1922322.92</v>
      </c>
      <c r="L57" s="264">
        <v>612856.31000000006</v>
      </c>
      <c r="M57" s="264">
        <v>1922322.92</v>
      </c>
      <c r="N57" s="264">
        <v>615867.95000000007</v>
      </c>
      <c r="O57" s="264">
        <v>1922322.92</v>
      </c>
      <c r="P57" s="264">
        <v>618879.59</v>
      </c>
      <c r="Q57" s="264">
        <v>1922322.92</v>
      </c>
      <c r="R57" s="264">
        <v>621891.23</v>
      </c>
      <c r="S57" s="264">
        <v>1922322.92</v>
      </c>
      <c r="T57" s="264">
        <v>624902.87</v>
      </c>
      <c r="U57" s="264">
        <v>1922322.92</v>
      </c>
      <c r="V57" s="264">
        <v>627914.51</v>
      </c>
      <c r="W57" s="264">
        <v>1922322.92</v>
      </c>
      <c r="X57" s="264">
        <v>630926.15</v>
      </c>
      <c r="Y57" s="264">
        <v>1922322.92</v>
      </c>
      <c r="Z57" s="264">
        <v>633937.79</v>
      </c>
      <c r="AA57" s="264">
        <v>1922322.92</v>
      </c>
      <c r="AB57" s="264">
        <v>636949.43000000005</v>
      </c>
      <c r="AC57" s="264">
        <v>1922322.92</v>
      </c>
      <c r="AD57" s="264">
        <v>639961.07000000007</v>
      </c>
      <c r="AE57" s="264">
        <f t="shared" si="4"/>
        <v>1922322.9200000006</v>
      </c>
      <c r="AF57" s="264">
        <f t="shared" si="4"/>
        <v>621891.23</v>
      </c>
    </row>
    <row r="58" spans="1:32">
      <c r="A58" s="24">
        <v>50</v>
      </c>
      <c r="C58" s="4" t="s">
        <v>1799</v>
      </c>
      <c r="D58" s="4" t="str">
        <f t="shared" si="5"/>
        <v>00048</v>
      </c>
      <c r="E58" s="264">
        <v>248393.9</v>
      </c>
      <c r="F58" s="264">
        <v>0</v>
      </c>
      <c r="G58" s="264">
        <v>248393.9</v>
      </c>
      <c r="H58" s="264">
        <v>0</v>
      </c>
      <c r="I58" s="264">
        <v>248393.9</v>
      </c>
      <c r="J58" s="264">
        <v>0</v>
      </c>
      <c r="K58" s="264">
        <v>248393.9</v>
      </c>
      <c r="L58" s="264">
        <v>0</v>
      </c>
      <c r="M58" s="264">
        <v>248393.9</v>
      </c>
      <c r="N58" s="264">
        <v>0</v>
      </c>
      <c r="O58" s="264">
        <v>248393.9</v>
      </c>
      <c r="P58" s="264">
        <v>0</v>
      </c>
      <c r="Q58" s="264">
        <v>248393.9</v>
      </c>
      <c r="R58" s="264">
        <v>0</v>
      </c>
      <c r="S58" s="264">
        <v>248393.9</v>
      </c>
      <c r="T58" s="264">
        <v>0</v>
      </c>
      <c r="U58" s="264">
        <v>248393.9</v>
      </c>
      <c r="V58" s="264">
        <v>0</v>
      </c>
      <c r="W58" s="264">
        <v>248393.9</v>
      </c>
      <c r="X58" s="264">
        <v>0</v>
      </c>
      <c r="Y58" s="264">
        <v>248393.9</v>
      </c>
      <c r="Z58" s="264">
        <v>0</v>
      </c>
      <c r="AA58" s="264">
        <v>248393.9</v>
      </c>
      <c r="AB58" s="264">
        <v>0</v>
      </c>
      <c r="AC58" s="264">
        <v>248393.9</v>
      </c>
      <c r="AD58" s="264">
        <v>0</v>
      </c>
      <c r="AE58" s="264">
        <f t="shared" si="4"/>
        <v>248393.89999999994</v>
      </c>
      <c r="AF58" s="264">
        <f t="shared" si="4"/>
        <v>0</v>
      </c>
    </row>
    <row r="59" spans="1:32">
      <c r="A59" s="24">
        <v>51</v>
      </c>
      <c r="C59" s="4" t="s">
        <v>1800</v>
      </c>
      <c r="D59" s="4" t="str">
        <f t="shared" si="5"/>
        <v>00048</v>
      </c>
      <c r="E59" s="264">
        <v>694595.46</v>
      </c>
      <c r="F59" s="264">
        <v>650729.32000000007</v>
      </c>
      <c r="G59" s="264">
        <v>694595.46</v>
      </c>
      <c r="H59" s="264">
        <v>651435.49</v>
      </c>
      <c r="I59" s="264">
        <v>694595.46</v>
      </c>
      <c r="J59" s="264">
        <v>652141.66</v>
      </c>
      <c r="K59" s="264">
        <v>694595.46</v>
      </c>
      <c r="L59" s="264">
        <v>652847.82999999996</v>
      </c>
      <c r="M59" s="264">
        <v>694595.46</v>
      </c>
      <c r="N59" s="264">
        <v>653554</v>
      </c>
      <c r="O59" s="264">
        <v>694595.46</v>
      </c>
      <c r="P59" s="264">
        <v>654260.17000000004</v>
      </c>
      <c r="Q59" s="264">
        <v>694595.46</v>
      </c>
      <c r="R59" s="264">
        <v>654966.34</v>
      </c>
      <c r="S59" s="264">
        <v>694595.46</v>
      </c>
      <c r="T59" s="264">
        <v>655672.51</v>
      </c>
      <c r="U59" s="264">
        <v>694595.46</v>
      </c>
      <c r="V59" s="264">
        <v>656378.68000000005</v>
      </c>
      <c r="W59" s="264">
        <v>696354.23</v>
      </c>
      <c r="X59" s="264">
        <v>657084.85</v>
      </c>
      <c r="Y59" s="264">
        <v>696354.23</v>
      </c>
      <c r="Z59" s="264">
        <v>657792.81000000006</v>
      </c>
      <c r="AA59" s="264">
        <v>696354.23</v>
      </c>
      <c r="AB59" s="264">
        <v>658500.77</v>
      </c>
      <c r="AC59" s="264">
        <v>696354.23</v>
      </c>
      <c r="AD59" s="264">
        <v>659208.73</v>
      </c>
      <c r="AE59" s="264">
        <f t="shared" si="4"/>
        <v>695108.43458333344</v>
      </c>
      <c r="AF59" s="264">
        <f t="shared" si="4"/>
        <v>654967.01124999998</v>
      </c>
    </row>
    <row r="60" spans="1:32">
      <c r="A60" s="24">
        <v>52</v>
      </c>
      <c r="C60" s="4" t="s">
        <v>1801</v>
      </c>
      <c r="D60" s="4" t="str">
        <f t="shared" si="5"/>
        <v>00048</v>
      </c>
      <c r="E60" s="264">
        <v>116215505.77</v>
      </c>
      <c r="F60" s="264">
        <v>32094891.120000001</v>
      </c>
      <c r="G60" s="264">
        <v>116259430.98999999</v>
      </c>
      <c r="H60" s="264">
        <v>32222265.420000002</v>
      </c>
      <c r="I60" s="264">
        <v>116277062.5</v>
      </c>
      <c r="J60" s="264">
        <v>32333674.149999999</v>
      </c>
      <c r="K60" s="264">
        <v>116554207.98</v>
      </c>
      <c r="L60" s="264">
        <v>32396381.260000002</v>
      </c>
      <c r="M60" s="264">
        <v>116665372.44</v>
      </c>
      <c r="N60" s="264">
        <v>32517791.899999999</v>
      </c>
      <c r="O60" s="264">
        <v>116702608.93000001</v>
      </c>
      <c r="P60" s="264">
        <v>32638396.640000001</v>
      </c>
      <c r="Q60" s="264">
        <v>116465551.87</v>
      </c>
      <c r="R60" s="264">
        <v>32732611.809999999</v>
      </c>
      <c r="S60" s="264">
        <v>118516927.93000001</v>
      </c>
      <c r="T60" s="264">
        <v>32828802.34</v>
      </c>
      <c r="U60" s="264">
        <v>124516793.95</v>
      </c>
      <c r="V60" s="264">
        <v>32952257.469999999</v>
      </c>
      <c r="W60" s="264">
        <v>124078296.61</v>
      </c>
      <c r="X60" s="264">
        <v>33080472.940000001</v>
      </c>
      <c r="Y60" s="264">
        <v>126451082.04000001</v>
      </c>
      <c r="Z60" s="264">
        <v>33178731.600000001</v>
      </c>
      <c r="AA60" s="264">
        <v>126324857.81</v>
      </c>
      <c r="AB60" s="264">
        <v>33300964.210000001</v>
      </c>
      <c r="AC60" s="264">
        <v>126326841.52</v>
      </c>
      <c r="AD60" s="264">
        <v>33409444.109999999</v>
      </c>
      <c r="AE60" s="264">
        <f t="shared" si="4"/>
        <v>120006947.22458334</v>
      </c>
      <c r="AF60" s="264">
        <f t="shared" si="4"/>
        <v>32744543.112916667</v>
      </c>
    </row>
    <row r="61" spans="1:32">
      <c r="A61" s="24">
        <v>53</v>
      </c>
      <c r="C61" s="4" t="s">
        <v>1802</v>
      </c>
      <c r="D61" s="4" t="str">
        <f t="shared" si="5"/>
        <v>00048</v>
      </c>
      <c r="E61" s="264">
        <v>92694639.489999995</v>
      </c>
      <c r="F61" s="264">
        <v>23090891.559999999</v>
      </c>
      <c r="G61" s="264">
        <v>93505603.920000002</v>
      </c>
      <c r="H61" s="264">
        <v>25316342.140000001</v>
      </c>
      <c r="I61" s="264">
        <v>93924843.650000006</v>
      </c>
      <c r="J61" s="264">
        <v>25638157.260000002</v>
      </c>
      <c r="K61" s="264">
        <v>94583057.189999998</v>
      </c>
      <c r="L61" s="264">
        <v>25948415.870000001</v>
      </c>
      <c r="M61" s="264">
        <v>94966403.109999999</v>
      </c>
      <c r="N61" s="264">
        <v>26273333.899999999</v>
      </c>
      <c r="O61" s="264">
        <v>95322795.450000003</v>
      </c>
      <c r="P61" s="264">
        <v>26598699.530000001</v>
      </c>
      <c r="Q61" s="264">
        <v>95672199.230000004</v>
      </c>
      <c r="R61" s="264">
        <v>26918136.309999999</v>
      </c>
      <c r="S61" s="264">
        <v>95834826.640000001</v>
      </c>
      <c r="T61" s="264">
        <v>27245880.219999999</v>
      </c>
      <c r="U61" s="264">
        <v>98464943.840000004</v>
      </c>
      <c r="V61" s="264">
        <v>27557739.870000001</v>
      </c>
      <c r="W61" s="264">
        <v>100022193.33</v>
      </c>
      <c r="X61" s="264">
        <v>27895510.469999999</v>
      </c>
      <c r="Y61" s="264">
        <v>101207971.86</v>
      </c>
      <c r="Z61" s="264">
        <v>28236406.899999999</v>
      </c>
      <c r="AA61" s="264">
        <v>101647106.15000001</v>
      </c>
      <c r="AB61" s="264">
        <v>28577764.199999999</v>
      </c>
      <c r="AC61" s="264">
        <v>104034895.53</v>
      </c>
      <c r="AD61" s="264">
        <v>28925627.489999998</v>
      </c>
      <c r="AE61" s="264">
        <f t="shared" si="4"/>
        <v>96959725.99000001</v>
      </c>
      <c r="AF61" s="264">
        <f t="shared" si="4"/>
        <v>26851220.516249999</v>
      </c>
    </row>
    <row r="62" spans="1:32">
      <c r="A62" s="24">
        <v>54</v>
      </c>
      <c r="C62" s="4" t="s">
        <v>1803</v>
      </c>
      <c r="D62" s="4" t="str">
        <f t="shared" si="5"/>
        <v>00048</v>
      </c>
      <c r="E62" s="264">
        <v>104619049.14</v>
      </c>
      <c r="F62" s="264">
        <v>77976433.870000005</v>
      </c>
      <c r="G62" s="264">
        <v>104881883.69</v>
      </c>
      <c r="H62" s="264">
        <v>78141018.370000005</v>
      </c>
      <c r="I62" s="264">
        <v>104901019.84999999</v>
      </c>
      <c r="J62" s="264">
        <v>78311095.030000001</v>
      </c>
      <c r="K62" s="264">
        <v>105286077.40000001</v>
      </c>
      <c r="L62" s="264">
        <v>78288688.239999995</v>
      </c>
      <c r="M62" s="264">
        <v>105312542.72</v>
      </c>
      <c r="N62" s="264">
        <v>78478882.959999993</v>
      </c>
      <c r="O62" s="264">
        <v>105514592.22</v>
      </c>
      <c r="P62" s="264">
        <v>78646841.200000003</v>
      </c>
      <c r="Q62" s="264">
        <v>106209913.69</v>
      </c>
      <c r="R62" s="264">
        <v>78604607.079999998</v>
      </c>
      <c r="S62" s="264">
        <v>106513976.93000001</v>
      </c>
      <c r="T62" s="264">
        <v>78786803.459999993</v>
      </c>
      <c r="U62" s="264">
        <v>106817882.7</v>
      </c>
      <c r="V62" s="264">
        <v>78940495.859999999</v>
      </c>
      <c r="W62" s="264">
        <v>108232058.02</v>
      </c>
      <c r="X62" s="264">
        <v>79115075.980000004</v>
      </c>
      <c r="Y62" s="264">
        <v>109521330.18000001</v>
      </c>
      <c r="Z62" s="264">
        <v>79301282.829999998</v>
      </c>
      <c r="AA62" s="264">
        <v>109710368.93000001</v>
      </c>
      <c r="AB62" s="264">
        <v>79470161.739999995</v>
      </c>
      <c r="AC62" s="264">
        <v>111111541.59</v>
      </c>
      <c r="AD62" s="264">
        <v>79550518.760000005</v>
      </c>
      <c r="AE62" s="264">
        <f t="shared" si="4"/>
        <v>106730578.47458334</v>
      </c>
      <c r="AF62" s="264">
        <f t="shared" si="4"/>
        <v>78737369.088750005</v>
      </c>
    </row>
    <row r="63" spans="1:32">
      <c r="A63" s="24">
        <v>55</v>
      </c>
      <c r="C63" s="4" t="s">
        <v>1804</v>
      </c>
      <c r="D63" s="4" t="str">
        <f t="shared" si="5"/>
        <v>00048</v>
      </c>
      <c r="E63" s="264">
        <v>2097766.77</v>
      </c>
      <c r="F63" s="264">
        <v>1351826.1</v>
      </c>
      <c r="G63" s="264">
        <v>2097766.77</v>
      </c>
      <c r="H63" s="264">
        <v>1354937.79</v>
      </c>
      <c r="I63" s="264">
        <v>2097766.77</v>
      </c>
      <c r="J63" s="264">
        <v>1358049.48</v>
      </c>
      <c r="K63" s="264">
        <v>2097766.77</v>
      </c>
      <c r="L63" s="264">
        <v>1361161.17</v>
      </c>
      <c r="M63" s="264">
        <v>2097766.77</v>
      </c>
      <c r="N63" s="264">
        <v>1364272.8599999999</v>
      </c>
      <c r="O63" s="264">
        <v>2097766.77</v>
      </c>
      <c r="P63" s="264">
        <v>1367384.55</v>
      </c>
      <c r="Q63" s="264">
        <v>2097766.77</v>
      </c>
      <c r="R63" s="264">
        <v>1370496.24</v>
      </c>
      <c r="S63" s="264">
        <v>2097766.77</v>
      </c>
      <c r="T63" s="264">
        <v>1373607.93</v>
      </c>
      <c r="U63" s="264">
        <v>2097766.77</v>
      </c>
      <c r="V63" s="264">
        <v>1376719.62</v>
      </c>
      <c r="W63" s="264">
        <v>2097766.77</v>
      </c>
      <c r="X63" s="264">
        <v>1379831.31</v>
      </c>
      <c r="Y63" s="264">
        <v>2097766.77</v>
      </c>
      <c r="Z63" s="264">
        <v>1382943</v>
      </c>
      <c r="AA63" s="264">
        <v>2097766.77</v>
      </c>
      <c r="AB63" s="264">
        <v>1386054.69</v>
      </c>
      <c r="AC63" s="264">
        <v>2097766.77</v>
      </c>
      <c r="AD63" s="264">
        <v>1389166.38</v>
      </c>
      <c r="AE63" s="264">
        <f t="shared" si="4"/>
        <v>2097766.77</v>
      </c>
      <c r="AF63" s="264">
        <f t="shared" si="4"/>
        <v>1370496.24</v>
      </c>
    </row>
    <row r="64" spans="1:32">
      <c r="A64" s="24">
        <v>56</v>
      </c>
      <c r="C64" s="4" t="s">
        <v>1805</v>
      </c>
      <c r="D64" s="4" t="str">
        <f t="shared" si="5"/>
        <v>00048</v>
      </c>
      <c r="E64" s="264">
        <v>17272773.109999999</v>
      </c>
      <c r="F64" s="264">
        <v>5498340.7800000003</v>
      </c>
      <c r="G64" s="264">
        <v>17266225.050000001</v>
      </c>
      <c r="H64" s="264">
        <v>5498798.8300000001</v>
      </c>
      <c r="I64" s="264">
        <v>17285504.41</v>
      </c>
      <c r="J64" s="264">
        <v>5526293.1600000001</v>
      </c>
      <c r="K64" s="264">
        <v>17593191.02</v>
      </c>
      <c r="L64" s="264">
        <v>5528884.4400000004</v>
      </c>
      <c r="M64" s="264">
        <v>19002153.670000002</v>
      </c>
      <c r="N64" s="264">
        <v>5550117.21</v>
      </c>
      <c r="O64" s="264">
        <v>18627223.870000001</v>
      </c>
      <c r="P64" s="264">
        <v>5600586.04</v>
      </c>
      <c r="Q64" s="264">
        <v>18642629.920000002</v>
      </c>
      <c r="R64" s="264">
        <v>5608774.54</v>
      </c>
      <c r="S64" s="264">
        <v>18649072.68</v>
      </c>
      <c r="T64" s="264">
        <v>5587676.0600000005</v>
      </c>
      <c r="U64" s="264">
        <v>18939081.23</v>
      </c>
      <c r="V64" s="264">
        <v>5608120.0999999996</v>
      </c>
      <c r="W64" s="264">
        <v>19089181.18</v>
      </c>
      <c r="X64" s="264">
        <v>5633017.4299999997</v>
      </c>
      <c r="Y64" s="264">
        <v>19094039.09</v>
      </c>
      <c r="Z64" s="264">
        <v>5646871.7699999996</v>
      </c>
      <c r="AA64" s="264">
        <v>19160722.449999999</v>
      </c>
      <c r="AB64" s="264">
        <v>5668925.6799999997</v>
      </c>
      <c r="AC64" s="264">
        <v>19408480.73</v>
      </c>
      <c r="AD64" s="264">
        <v>5699582.8399999999</v>
      </c>
      <c r="AE64" s="264">
        <f t="shared" si="4"/>
        <v>18474137.624166667</v>
      </c>
      <c r="AF64" s="264">
        <f t="shared" si="4"/>
        <v>5588085.5891666664</v>
      </c>
    </row>
    <row r="65" spans="1:32">
      <c r="A65" s="24">
        <v>57</v>
      </c>
      <c r="C65" s="4" t="s">
        <v>1806</v>
      </c>
      <c r="D65" s="4" t="str">
        <f t="shared" si="5"/>
        <v>00048</v>
      </c>
      <c r="E65" s="264">
        <v>96653910.25</v>
      </c>
      <c r="F65" s="264">
        <v>35585124.18</v>
      </c>
      <c r="G65" s="264">
        <v>97100135.989999995</v>
      </c>
      <c r="H65" s="264">
        <v>37759252.689999998</v>
      </c>
      <c r="I65" s="264">
        <v>97678453.129999995</v>
      </c>
      <c r="J65" s="264">
        <v>38068092.109999999</v>
      </c>
      <c r="K65" s="264">
        <v>98245523.709999993</v>
      </c>
      <c r="L65" s="264">
        <v>38332157.579999998</v>
      </c>
      <c r="M65" s="264">
        <v>98572544.659999996</v>
      </c>
      <c r="N65" s="264">
        <v>38643447.859999999</v>
      </c>
      <c r="O65" s="264">
        <v>99114618.930000007</v>
      </c>
      <c r="P65" s="264">
        <v>38954957.719999999</v>
      </c>
      <c r="Q65" s="264">
        <v>99721922.590000004</v>
      </c>
      <c r="R65" s="264">
        <v>39261725.060000002</v>
      </c>
      <c r="S65" s="264">
        <v>100039472.84999999</v>
      </c>
      <c r="T65" s="264">
        <v>39572790.329999998</v>
      </c>
      <c r="U65" s="264">
        <v>100674248.29000001</v>
      </c>
      <c r="V65" s="264">
        <v>39876481.789999999</v>
      </c>
      <c r="W65" s="264">
        <v>101124838.45</v>
      </c>
      <c r="X65" s="264">
        <v>40196912.469999999</v>
      </c>
      <c r="Y65" s="264">
        <v>101601738.56</v>
      </c>
      <c r="Z65" s="264">
        <v>40518400.5</v>
      </c>
      <c r="AA65" s="264">
        <v>102045253.23999999</v>
      </c>
      <c r="AB65" s="264">
        <v>40834111.810000002</v>
      </c>
      <c r="AC65" s="264">
        <v>103118408.27</v>
      </c>
      <c r="AD65" s="264">
        <v>41126803.579999998</v>
      </c>
      <c r="AE65" s="264">
        <f t="shared" si="4"/>
        <v>99650409.138333336</v>
      </c>
      <c r="AF65" s="264">
        <f t="shared" si="4"/>
        <v>39197857.81666667</v>
      </c>
    </row>
    <row r="66" spans="1:32">
      <c r="A66" s="24">
        <v>58</v>
      </c>
      <c r="C66" s="4" t="s">
        <v>1807</v>
      </c>
      <c r="D66" s="4" t="str">
        <f t="shared" si="5"/>
        <v>00048</v>
      </c>
      <c r="E66" s="264">
        <v>62682144.079999998</v>
      </c>
      <c r="F66" s="264">
        <v>90197398.549999997</v>
      </c>
      <c r="G66" s="264">
        <v>62676251.93</v>
      </c>
      <c r="H66" s="264">
        <v>90308243.879999995</v>
      </c>
      <c r="I66" s="264">
        <v>62671819.130000003</v>
      </c>
      <c r="J66" s="264">
        <v>90424601.980000004</v>
      </c>
      <c r="K66" s="264">
        <v>62631056.32</v>
      </c>
      <c r="L66" s="264">
        <v>90416027.969999999</v>
      </c>
      <c r="M66" s="264">
        <v>62635881.340000004</v>
      </c>
      <c r="N66" s="264">
        <v>90550565.489999995</v>
      </c>
      <c r="O66" s="264">
        <v>62655086.25</v>
      </c>
      <c r="P66" s="264">
        <v>90682565.650000006</v>
      </c>
      <c r="Q66" s="264">
        <v>62601366.740000002</v>
      </c>
      <c r="R66" s="264">
        <v>90751438.930000007</v>
      </c>
      <c r="S66" s="264">
        <v>62593850.630000003</v>
      </c>
      <c r="T66" s="264">
        <v>90867785.560000002</v>
      </c>
      <c r="U66" s="264">
        <v>62579065.420000002</v>
      </c>
      <c r="V66" s="264">
        <v>90958949.069999993</v>
      </c>
      <c r="W66" s="264">
        <v>62517414.43</v>
      </c>
      <c r="X66" s="264">
        <v>90893055.010000005</v>
      </c>
      <c r="Y66" s="264">
        <v>62498182.07</v>
      </c>
      <c r="Z66" s="264">
        <v>91001452.140000001</v>
      </c>
      <c r="AA66" s="264">
        <v>62511307.030000001</v>
      </c>
      <c r="AB66" s="264">
        <v>91089817.930000007</v>
      </c>
      <c r="AC66" s="264">
        <v>62481619.82</v>
      </c>
      <c r="AD66" s="264">
        <v>91189844.709999993</v>
      </c>
      <c r="AE66" s="264">
        <f t="shared" si="4"/>
        <v>62596096.936666675</v>
      </c>
      <c r="AF66" s="264">
        <f t="shared" si="4"/>
        <v>90719843.769999981</v>
      </c>
    </row>
    <row r="67" spans="1:32">
      <c r="A67" s="24">
        <v>59</v>
      </c>
      <c r="C67" s="4" t="s">
        <v>1808</v>
      </c>
      <c r="D67" s="4" t="str">
        <f t="shared" si="5"/>
        <v>00048</v>
      </c>
      <c r="E67" s="264">
        <v>0</v>
      </c>
      <c r="F67" s="264">
        <v>0.01</v>
      </c>
      <c r="G67" s="264">
        <v>0</v>
      </c>
      <c r="H67" s="264">
        <v>0</v>
      </c>
      <c r="I67" s="264">
        <v>0</v>
      </c>
      <c r="J67" s="264">
        <v>0</v>
      </c>
      <c r="K67" s="264">
        <v>0</v>
      </c>
      <c r="L67" s="264">
        <v>0</v>
      </c>
      <c r="M67" s="264">
        <v>84.22</v>
      </c>
      <c r="N67" s="264">
        <v>0</v>
      </c>
      <c r="O67" s="264">
        <v>266.74</v>
      </c>
      <c r="P67" s="264">
        <v>0</v>
      </c>
      <c r="Q67" s="264">
        <v>8.2900000000000009</v>
      </c>
      <c r="R67" s="264">
        <v>0</v>
      </c>
      <c r="S67" s="264">
        <v>8.2900000000000009</v>
      </c>
      <c r="T67" s="264">
        <v>0</v>
      </c>
      <c r="U67" s="264">
        <v>8.2900000000000009</v>
      </c>
      <c r="V67" s="264">
        <v>0</v>
      </c>
      <c r="W67" s="264">
        <v>0</v>
      </c>
      <c r="X67" s="264">
        <v>0</v>
      </c>
      <c r="Y67" s="264">
        <v>0</v>
      </c>
      <c r="Z67" s="264">
        <v>0</v>
      </c>
      <c r="AA67" s="264">
        <v>0</v>
      </c>
      <c r="AB67" s="264">
        <v>0</v>
      </c>
      <c r="AC67" s="264">
        <v>0</v>
      </c>
      <c r="AD67" s="264">
        <v>0</v>
      </c>
      <c r="AE67" s="264">
        <f t="shared" si="4"/>
        <v>31.319166666666675</v>
      </c>
      <c r="AF67" s="264">
        <f t="shared" si="4"/>
        <v>4.1666666666666669E-4</v>
      </c>
    </row>
    <row r="68" spans="1:32">
      <c r="A68" s="24">
        <v>60</v>
      </c>
      <c r="C68" s="4" t="s">
        <v>1809</v>
      </c>
      <c r="D68" s="4" t="str">
        <f t="shared" si="5"/>
        <v>00048</v>
      </c>
      <c r="E68" s="264">
        <v>22396766.760000002</v>
      </c>
      <c r="F68" s="264">
        <v>10064163.189999999</v>
      </c>
      <c r="G68" s="264">
        <v>22422726.420000002</v>
      </c>
      <c r="H68" s="264">
        <v>10089605.369999999</v>
      </c>
      <c r="I68" s="264">
        <v>22477744.91</v>
      </c>
      <c r="J68" s="264">
        <v>10123556.560000001</v>
      </c>
      <c r="K68" s="264">
        <v>22505631.300000001</v>
      </c>
      <c r="L68" s="264">
        <v>10156190.449999999</v>
      </c>
      <c r="M68" s="264">
        <v>22545845.949999999</v>
      </c>
      <c r="N68" s="264">
        <v>10188689.130000001</v>
      </c>
      <c r="O68" s="264">
        <v>22563095.640000001</v>
      </c>
      <c r="P68" s="264">
        <v>10216471.189999999</v>
      </c>
      <c r="Q68" s="264">
        <v>22573355.190000001</v>
      </c>
      <c r="R68" s="264">
        <v>10242765.01</v>
      </c>
      <c r="S68" s="264">
        <v>22601346.260000002</v>
      </c>
      <c r="T68" s="264">
        <v>10271850.640000001</v>
      </c>
      <c r="U68" s="264">
        <v>22639692.629999999</v>
      </c>
      <c r="V68" s="264">
        <v>10303384.59</v>
      </c>
      <c r="W68" s="264">
        <v>22684900.82</v>
      </c>
      <c r="X68" s="264">
        <v>10337027.880000001</v>
      </c>
      <c r="Y68" s="264">
        <v>22735612.050000001</v>
      </c>
      <c r="Z68" s="264">
        <v>10371238.060000001</v>
      </c>
      <c r="AA68" s="264">
        <v>22771682.199999999</v>
      </c>
      <c r="AB68" s="264">
        <v>10392819.869999999</v>
      </c>
      <c r="AC68" s="264">
        <v>22894603.239999998</v>
      </c>
      <c r="AD68" s="264">
        <v>10424710.199999999</v>
      </c>
      <c r="AE68" s="264">
        <f t="shared" si="4"/>
        <v>22597276.530833334</v>
      </c>
      <c r="AF68" s="264">
        <f t="shared" si="4"/>
        <v>10244836.287083333</v>
      </c>
    </row>
    <row r="69" spans="1:32">
      <c r="A69" s="24">
        <v>61</v>
      </c>
      <c r="C69" s="4" t="s">
        <v>1810</v>
      </c>
      <c r="D69" s="4" t="str">
        <f t="shared" si="5"/>
        <v>00048</v>
      </c>
      <c r="E69" s="264">
        <v>7893079.4900000002</v>
      </c>
      <c r="F69" s="264">
        <v>3461142.49</v>
      </c>
      <c r="G69" s="264">
        <v>7898819.6699999999</v>
      </c>
      <c r="H69" s="264">
        <v>3475341.77</v>
      </c>
      <c r="I69" s="264">
        <v>7906988.7000000002</v>
      </c>
      <c r="J69" s="264">
        <v>3489691.29</v>
      </c>
      <c r="K69" s="264">
        <v>7906423.9800000004</v>
      </c>
      <c r="L69" s="264">
        <v>3501688.89</v>
      </c>
      <c r="M69" s="264">
        <v>7952697.8499999996</v>
      </c>
      <c r="N69" s="264">
        <v>3516639.6</v>
      </c>
      <c r="O69" s="264">
        <v>7955859.4000000004</v>
      </c>
      <c r="P69" s="264">
        <v>3531263.85</v>
      </c>
      <c r="Q69" s="264">
        <v>7970526.0099999998</v>
      </c>
      <c r="R69" s="264">
        <v>3546255.4</v>
      </c>
      <c r="S69" s="264">
        <v>7983826.5</v>
      </c>
      <c r="T69" s="264">
        <v>3564945.13</v>
      </c>
      <c r="U69" s="264">
        <v>7993577.25</v>
      </c>
      <c r="V69" s="264">
        <v>3563768.7199999997</v>
      </c>
      <c r="W69" s="264">
        <v>8053174.6200000001</v>
      </c>
      <c r="X69" s="264">
        <v>3570588.37</v>
      </c>
      <c r="Y69" s="264">
        <v>8107872.7300000004</v>
      </c>
      <c r="Z69" s="264">
        <v>3585218.3</v>
      </c>
      <c r="AA69" s="264">
        <v>8155184.9199999999</v>
      </c>
      <c r="AB69" s="264">
        <v>3608551.79</v>
      </c>
      <c r="AC69" s="264">
        <v>8205835.1900000004</v>
      </c>
      <c r="AD69" s="264">
        <v>3618348.63</v>
      </c>
      <c r="AE69" s="264">
        <f t="shared" si="4"/>
        <v>7994534.0808333345</v>
      </c>
      <c r="AF69" s="264">
        <f t="shared" si="4"/>
        <v>3541141.5558333336</v>
      </c>
    </row>
    <row r="70" spans="1:32">
      <c r="A70" s="24">
        <v>62</v>
      </c>
      <c r="C70" s="4" t="s">
        <v>1811</v>
      </c>
      <c r="D70" s="4" t="str">
        <f t="shared" si="5"/>
        <v>00048</v>
      </c>
      <c r="E70" s="264">
        <v>0</v>
      </c>
      <c r="F70" s="264">
        <v>-305.76</v>
      </c>
      <c r="G70" s="264">
        <v>0</v>
      </c>
      <c r="H70" s="264">
        <v>-305.76</v>
      </c>
      <c r="I70" s="264">
        <v>0</v>
      </c>
      <c r="J70" s="264">
        <v>-305.76</v>
      </c>
      <c r="K70" s="264">
        <v>0</v>
      </c>
      <c r="L70" s="264">
        <v>-305.76</v>
      </c>
      <c r="M70" s="264">
        <v>0</v>
      </c>
      <c r="N70" s="264">
        <v>-305.76</v>
      </c>
      <c r="O70" s="264">
        <v>0</v>
      </c>
      <c r="P70" s="264">
        <v>-305.76</v>
      </c>
      <c r="Q70" s="264">
        <v>0</v>
      </c>
      <c r="R70" s="264">
        <v>-305.76</v>
      </c>
      <c r="S70" s="264">
        <v>0</v>
      </c>
      <c r="T70" s="264">
        <v>-305.76</v>
      </c>
      <c r="U70" s="264">
        <v>0</v>
      </c>
      <c r="V70" s="264">
        <v>-305.76</v>
      </c>
      <c r="W70" s="264">
        <v>0</v>
      </c>
      <c r="X70" s="264">
        <v>-305.76</v>
      </c>
      <c r="Y70" s="264">
        <v>0</v>
      </c>
      <c r="Z70" s="264">
        <v>-305.76</v>
      </c>
      <c r="AA70" s="264">
        <v>0</v>
      </c>
      <c r="AB70" s="264">
        <v>-305.76</v>
      </c>
      <c r="AC70" s="264">
        <v>0</v>
      </c>
      <c r="AD70" s="264">
        <v>-305.76</v>
      </c>
      <c r="AE70" s="264">
        <f t="shared" si="4"/>
        <v>0</v>
      </c>
      <c r="AF70" s="264">
        <f t="shared" si="4"/>
        <v>-305.76000000000005</v>
      </c>
    </row>
    <row r="71" spans="1:32">
      <c r="A71" s="24">
        <v>63</v>
      </c>
      <c r="C71" s="4" t="s">
        <v>1812</v>
      </c>
      <c r="D71" s="4" t="str">
        <f t="shared" si="5"/>
        <v>00048</v>
      </c>
      <c r="E71" s="264">
        <v>2020069.02</v>
      </c>
      <c r="F71" s="264">
        <v>0</v>
      </c>
      <c r="G71" s="264">
        <v>2020069.02</v>
      </c>
      <c r="H71" s="264">
        <v>0</v>
      </c>
      <c r="I71" s="264">
        <v>2020069.02</v>
      </c>
      <c r="J71" s="264">
        <v>0</v>
      </c>
      <c r="K71" s="264">
        <v>2020069.02</v>
      </c>
      <c r="L71" s="264">
        <v>0</v>
      </c>
      <c r="M71" s="264">
        <v>2020069.02</v>
      </c>
      <c r="N71" s="264">
        <v>0</v>
      </c>
      <c r="O71" s="264">
        <v>2020069.02</v>
      </c>
      <c r="P71" s="264">
        <v>0</v>
      </c>
      <c r="Q71" s="264">
        <v>2020069.02</v>
      </c>
      <c r="R71" s="264">
        <v>0</v>
      </c>
      <c r="S71" s="264">
        <v>2020069.02</v>
      </c>
      <c r="T71" s="264">
        <v>0</v>
      </c>
      <c r="U71" s="264">
        <v>2020069.02</v>
      </c>
      <c r="V71" s="264">
        <v>0</v>
      </c>
      <c r="W71" s="264">
        <v>2020069.02</v>
      </c>
      <c r="X71" s="264">
        <v>0</v>
      </c>
      <c r="Y71" s="264">
        <v>2020069.02</v>
      </c>
      <c r="Z71" s="264">
        <v>0</v>
      </c>
      <c r="AA71" s="264">
        <v>2020069.02</v>
      </c>
      <c r="AB71" s="264">
        <v>0</v>
      </c>
      <c r="AC71" s="264">
        <v>2020069.02</v>
      </c>
      <c r="AD71" s="264">
        <v>0</v>
      </c>
      <c r="AE71" s="264">
        <f t="shared" si="4"/>
        <v>2020069.0199999998</v>
      </c>
      <c r="AF71" s="264">
        <f t="shared" si="4"/>
        <v>0</v>
      </c>
    </row>
    <row r="72" spans="1:32">
      <c r="A72" s="24">
        <v>64</v>
      </c>
      <c r="C72" s="4" t="s">
        <v>1813</v>
      </c>
      <c r="D72" s="4" t="str">
        <f t="shared" si="5"/>
        <v>00048</v>
      </c>
      <c r="E72" s="264">
        <v>0</v>
      </c>
      <c r="F72" s="264">
        <v>4703.88</v>
      </c>
      <c r="G72" s="264">
        <v>0</v>
      </c>
      <c r="H72" s="264">
        <v>4703.88</v>
      </c>
      <c r="I72" s="264">
        <v>0</v>
      </c>
      <c r="J72" s="264">
        <v>4703.88</v>
      </c>
      <c r="K72" s="264">
        <v>0</v>
      </c>
      <c r="L72" s="264">
        <v>4703.88</v>
      </c>
      <c r="M72" s="264">
        <v>0</v>
      </c>
      <c r="N72" s="264">
        <v>4703.88</v>
      </c>
      <c r="O72" s="264">
        <v>0</v>
      </c>
      <c r="P72" s="264">
        <v>4703.88</v>
      </c>
      <c r="Q72" s="264">
        <v>7933.28</v>
      </c>
      <c r="R72" s="264">
        <v>4703.88</v>
      </c>
      <c r="S72" s="264">
        <v>7933.28</v>
      </c>
      <c r="T72" s="264">
        <v>4703.88</v>
      </c>
      <c r="U72" s="264">
        <v>7933.28</v>
      </c>
      <c r="V72" s="264">
        <v>4703.88</v>
      </c>
      <c r="W72" s="264">
        <v>7933.28</v>
      </c>
      <c r="X72" s="264">
        <v>4703.88</v>
      </c>
      <c r="Y72" s="264">
        <v>7933.28</v>
      </c>
      <c r="Z72" s="264">
        <v>4703.88</v>
      </c>
      <c r="AA72" s="264">
        <v>7933.28</v>
      </c>
      <c r="AB72" s="264">
        <v>4703.88</v>
      </c>
      <c r="AC72" s="264">
        <v>7933.28</v>
      </c>
      <c r="AD72" s="264">
        <v>4703.88</v>
      </c>
      <c r="AE72" s="264">
        <f t="shared" si="4"/>
        <v>4297.1933333333336</v>
      </c>
      <c r="AF72" s="264">
        <f t="shared" si="4"/>
        <v>4703.8799999999992</v>
      </c>
    </row>
    <row r="73" spans="1:32">
      <c r="A73" s="24">
        <v>65</v>
      </c>
      <c r="C73" s="4" t="s">
        <v>1814</v>
      </c>
      <c r="D73" s="4" t="str">
        <f t="shared" si="5"/>
        <v>00048</v>
      </c>
      <c r="E73" s="264">
        <v>9058502.9499999993</v>
      </c>
      <c r="F73" s="264">
        <v>4768990.34</v>
      </c>
      <c r="G73" s="264">
        <v>9061443.8399999999</v>
      </c>
      <c r="H73" s="264">
        <v>4778350.79</v>
      </c>
      <c r="I73" s="264">
        <v>9088752.9399999995</v>
      </c>
      <c r="J73" s="264">
        <v>4787714.28</v>
      </c>
      <c r="K73" s="264">
        <v>9088752.9399999995</v>
      </c>
      <c r="L73" s="264">
        <v>4797105.99</v>
      </c>
      <c r="M73" s="264">
        <v>9089973.9100000001</v>
      </c>
      <c r="N73" s="264">
        <v>4806497.7</v>
      </c>
      <c r="O73" s="264">
        <v>9089973.9100000001</v>
      </c>
      <c r="P73" s="264">
        <v>4815890.67</v>
      </c>
      <c r="Q73" s="264">
        <v>9089973.9100000001</v>
      </c>
      <c r="R73" s="264">
        <v>4825283.6399999997</v>
      </c>
      <c r="S73" s="264">
        <v>9089973.9100000001</v>
      </c>
      <c r="T73" s="264">
        <v>4834676.6100000003</v>
      </c>
      <c r="U73" s="264">
        <v>9089973.9100000001</v>
      </c>
      <c r="V73" s="264">
        <v>4844069.58</v>
      </c>
      <c r="W73" s="264">
        <v>9089973.9100000001</v>
      </c>
      <c r="X73" s="264">
        <v>4853462.55</v>
      </c>
      <c r="Y73" s="264">
        <v>9114642.0399999991</v>
      </c>
      <c r="Z73" s="264">
        <v>4862855.5199999996</v>
      </c>
      <c r="AA73" s="264">
        <v>9114642.0399999991</v>
      </c>
      <c r="AB73" s="264">
        <v>4872273.9800000004</v>
      </c>
      <c r="AC73" s="264">
        <v>9154112.3399999999</v>
      </c>
      <c r="AD73" s="264">
        <v>4881692.4400000004</v>
      </c>
      <c r="AE73" s="264">
        <f t="shared" si="4"/>
        <v>9092865.4087499958</v>
      </c>
      <c r="AF73" s="264">
        <f t="shared" si="4"/>
        <v>4825293.5583333336</v>
      </c>
    </row>
    <row r="74" spans="1:32">
      <c r="A74" s="24">
        <v>66</v>
      </c>
      <c r="C74" s="4" t="s">
        <v>1815</v>
      </c>
      <c r="D74" s="4" t="str">
        <f t="shared" si="5"/>
        <v>00048</v>
      </c>
      <c r="E74" s="264">
        <v>156603.45000000001</v>
      </c>
      <c r="F74" s="264">
        <v>49359.15</v>
      </c>
      <c r="G74" s="264">
        <v>111436.64</v>
      </c>
      <c r="H74" s="264">
        <v>6459.17</v>
      </c>
      <c r="I74" s="264">
        <v>111436.64</v>
      </c>
      <c r="J74" s="264">
        <v>8072.22</v>
      </c>
      <c r="K74" s="264">
        <v>108088.64</v>
      </c>
      <c r="L74" s="264">
        <v>6337.27</v>
      </c>
      <c r="M74" s="264">
        <v>108088.64</v>
      </c>
      <c r="N74" s="264">
        <v>7901.85</v>
      </c>
      <c r="O74" s="264">
        <v>109957.52</v>
      </c>
      <c r="P74" s="264">
        <v>9466.43</v>
      </c>
      <c r="Q74" s="264">
        <v>98185.52</v>
      </c>
      <c r="R74" s="264">
        <v>-713.93000000000006</v>
      </c>
      <c r="S74" s="264">
        <v>98185.52</v>
      </c>
      <c r="T74" s="264">
        <v>707.31000000000006</v>
      </c>
      <c r="U74" s="264">
        <v>98185.52</v>
      </c>
      <c r="V74" s="264">
        <v>2128.5500000000002</v>
      </c>
      <c r="W74" s="264">
        <v>98185.52</v>
      </c>
      <c r="X74" s="264">
        <v>3549.79</v>
      </c>
      <c r="Y74" s="264">
        <v>98185.52</v>
      </c>
      <c r="Z74" s="264">
        <v>4971.03</v>
      </c>
      <c r="AA74" s="264">
        <v>98185.52</v>
      </c>
      <c r="AB74" s="264">
        <v>6392.27</v>
      </c>
      <c r="AC74" s="264">
        <v>98185.52</v>
      </c>
      <c r="AD74" s="264">
        <v>7813.51</v>
      </c>
      <c r="AE74" s="264">
        <f t="shared" si="4"/>
        <v>105459.64041666668</v>
      </c>
      <c r="AF74" s="264">
        <f t="shared" si="4"/>
        <v>6988.190833333334</v>
      </c>
    </row>
    <row r="75" spans="1:32">
      <c r="A75" s="24">
        <v>67</v>
      </c>
      <c r="C75" s="4" t="s">
        <v>1816</v>
      </c>
      <c r="D75" s="4" t="str">
        <f t="shared" si="5"/>
        <v>00048</v>
      </c>
      <c r="E75" s="264">
        <v>405458.97000000003</v>
      </c>
      <c r="F75" s="264">
        <v>78546.759999999995</v>
      </c>
      <c r="G75" s="264">
        <v>390507.36</v>
      </c>
      <c r="H75" s="264">
        <v>65277.8</v>
      </c>
      <c r="I75" s="264">
        <v>390507.36</v>
      </c>
      <c r="J75" s="264">
        <v>66898.41</v>
      </c>
      <c r="K75" s="264">
        <v>390507.36</v>
      </c>
      <c r="L75" s="264">
        <v>68519.02</v>
      </c>
      <c r="M75" s="264">
        <v>390507.36</v>
      </c>
      <c r="N75" s="264">
        <v>70139.63</v>
      </c>
      <c r="O75" s="264">
        <v>390507.36</v>
      </c>
      <c r="P75" s="264">
        <v>71760.240000000005</v>
      </c>
      <c r="Q75" s="264">
        <v>416985.31</v>
      </c>
      <c r="R75" s="264">
        <v>73078.86</v>
      </c>
      <c r="S75" s="264">
        <v>416985.31</v>
      </c>
      <c r="T75" s="264">
        <v>74809.350000000006</v>
      </c>
      <c r="U75" s="264">
        <v>416985.31</v>
      </c>
      <c r="V75" s="264">
        <v>76539.839999999997</v>
      </c>
      <c r="W75" s="264">
        <v>416985.31</v>
      </c>
      <c r="X75" s="264">
        <v>78270.33</v>
      </c>
      <c r="Y75" s="264">
        <v>416985.31</v>
      </c>
      <c r="Z75" s="264">
        <v>80000.820000000007</v>
      </c>
      <c r="AA75" s="264">
        <v>416985.31</v>
      </c>
      <c r="AB75" s="264">
        <v>81731.31</v>
      </c>
      <c r="AC75" s="264">
        <v>416985.31</v>
      </c>
      <c r="AD75" s="264">
        <v>83461.8</v>
      </c>
      <c r="AE75" s="264">
        <f t="shared" si="4"/>
        <v>405472.56666666665</v>
      </c>
      <c r="AF75" s="264">
        <f t="shared" si="4"/>
        <v>74002.490833333344</v>
      </c>
    </row>
    <row r="76" spans="1:32">
      <c r="A76" s="24">
        <v>68</v>
      </c>
      <c r="C76" s="4" t="s">
        <v>1817</v>
      </c>
      <c r="D76" s="4" t="str">
        <f t="shared" si="5"/>
        <v>00048</v>
      </c>
      <c r="E76" s="264">
        <v>229070.62</v>
      </c>
      <c r="F76" s="264">
        <v>97535.14</v>
      </c>
      <c r="G76" s="264">
        <v>229070.62</v>
      </c>
      <c r="H76" s="264">
        <v>98136.45</v>
      </c>
      <c r="I76" s="264">
        <v>229070.62</v>
      </c>
      <c r="J76" s="264">
        <v>98737.760000000009</v>
      </c>
      <c r="K76" s="264">
        <v>229070.62</v>
      </c>
      <c r="L76" s="264">
        <v>99339.07</v>
      </c>
      <c r="M76" s="264">
        <v>229070.62</v>
      </c>
      <c r="N76" s="264">
        <v>99940.38</v>
      </c>
      <c r="O76" s="264">
        <v>229070.62</v>
      </c>
      <c r="P76" s="264">
        <v>100541.69</v>
      </c>
      <c r="Q76" s="264">
        <v>229070.62</v>
      </c>
      <c r="R76" s="264">
        <v>101143</v>
      </c>
      <c r="S76" s="264">
        <v>229070.62</v>
      </c>
      <c r="T76" s="264">
        <v>101744.31</v>
      </c>
      <c r="U76" s="264">
        <v>229070.62</v>
      </c>
      <c r="V76" s="264">
        <v>102345.62</v>
      </c>
      <c r="W76" s="264">
        <v>213725.31</v>
      </c>
      <c r="X76" s="264">
        <v>87601.62</v>
      </c>
      <c r="Y76" s="264">
        <v>213725.31</v>
      </c>
      <c r="Z76" s="264">
        <v>88162.650000000009</v>
      </c>
      <c r="AA76" s="264">
        <v>213725.31</v>
      </c>
      <c r="AB76" s="264">
        <v>88723.680000000008</v>
      </c>
      <c r="AC76" s="264">
        <v>213725.31</v>
      </c>
      <c r="AD76" s="264">
        <v>89284.71</v>
      </c>
      <c r="AE76" s="264">
        <f t="shared" si="4"/>
        <v>224594.90458333338</v>
      </c>
      <c r="AF76" s="264">
        <f t="shared" si="4"/>
        <v>96652.17958333336</v>
      </c>
    </row>
    <row r="77" spans="1:32">
      <c r="A77" s="24">
        <v>69</v>
      </c>
      <c r="C77" s="4" t="s">
        <v>1818</v>
      </c>
      <c r="D77" s="4" t="str">
        <f t="shared" si="5"/>
        <v>00048</v>
      </c>
      <c r="E77" s="264">
        <v>8760593.6600000001</v>
      </c>
      <c r="F77" s="264">
        <v>3138126.48</v>
      </c>
      <c r="G77" s="264">
        <v>8818649.2400000002</v>
      </c>
      <c r="H77" s="264">
        <v>3183024.52</v>
      </c>
      <c r="I77" s="264">
        <v>8868940.7200000007</v>
      </c>
      <c r="J77" s="264">
        <v>3211362</v>
      </c>
      <c r="K77" s="264">
        <v>8750125.9000000004</v>
      </c>
      <c r="L77" s="264">
        <v>3113550.25</v>
      </c>
      <c r="M77" s="264">
        <v>8805451.2899999991</v>
      </c>
      <c r="N77" s="264">
        <v>3111198.95</v>
      </c>
      <c r="O77" s="264">
        <v>8921776.3699999992</v>
      </c>
      <c r="P77" s="264">
        <v>3166426.89</v>
      </c>
      <c r="Q77" s="264">
        <v>9083479.9000000004</v>
      </c>
      <c r="R77" s="264">
        <v>3212503.31</v>
      </c>
      <c r="S77" s="264">
        <v>9223031.8399999999</v>
      </c>
      <c r="T77" s="264">
        <v>3242782.82</v>
      </c>
      <c r="U77" s="264">
        <v>9494482.4299999997</v>
      </c>
      <c r="V77" s="264">
        <v>3270750.74</v>
      </c>
      <c r="W77" s="264">
        <v>9417208.1799999997</v>
      </c>
      <c r="X77" s="264">
        <v>3263819.7800000003</v>
      </c>
      <c r="Y77" s="264">
        <v>9352511.5899999999</v>
      </c>
      <c r="Z77" s="264">
        <v>3274068.69</v>
      </c>
      <c r="AA77" s="264">
        <v>9460510.1699999999</v>
      </c>
      <c r="AB77" s="264">
        <v>3314102.13</v>
      </c>
      <c r="AC77" s="264">
        <v>9743723.7799999993</v>
      </c>
      <c r="AD77" s="264">
        <v>3362587.25</v>
      </c>
      <c r="AE77" s="264">
        <f t="shared" si="4"/>
        <v>9120693.8625000007</v>
      </c>
      <c r="AF77" s="264">
        <f t="shared" si="4"/>
        <v>3217828.9120833334</v>
      </c>
    </row>
    <row r="78" spans="1:32">
      <c r="A78" s="24">
        <v>70</v>
      </c>
      <c r="C78" s="4" t="s">
        <v>1819</v>
      </c>
      <c r="D78" s="4" t="str">
        <f t="shared" si="5"/>
        <v>00048</v>
      </c>
      <c r="E78" s="264">
        <v>23837.02</v>
      </c>
      <c r="F78" s="264">
        <v>7873.37</v>
      </c>
      <c r="G78" s="264">
        <v>23837.02</v>
      </c>
      <c r="H78" s="264">
        <v>7979.4400000000005</v>
      </c>
      <c r="I78" s="264">
        <v>23837.02</v>
      </c>
      <c r="J78" s="264">
        <v>8085.51</v>
      </c>
      <c r="K78" s="264">
        <v>23837.02</v>
      </c>
      <c r="L78" s="264">
        <v>8191.58</v>
      </c>
      <c r="M78" s="264">
        <v>23837.02</v>
      </c>
      <c r="N78" s="264">
        <v>8297.65</v>
      </c>
      <c r="O78" s="264">
        <v>23837.02</v>
      </c>
      <c r="P78" s="264">
        <v>8403.7199999999993</v>
      </c>
      <c r="Q78" s="264">
        <v>23837.02</v>
      </c>
      <c r="R78" s="264">
        <v>8509.7900000000009</v>
      </c>
      <c r="S78" s="264">
        <v>23837.02</v>
      </c>
      <c r="T78" s="264">
        <v>8615.86</v>
      </c>
      <c r="U78" s="264">
        <v>23837.02</v>
      </c>
      <c r="V78" s="264">
        <v>8721.93</v>
      </c>
      <c r="W78" s="264">
        <v>23837.02</v>
      </c>
      <c r="X78" s="264">
        <v>8828</v>
      </c>
      <c r="Y78" s="264">
        <v>23837.02</v>
      </c>
      <c r="Z78" s="264">
        <v>8934.07</v>
      </c>
      <c r="AA78" s="264">
        <v>23837.02</v>
      </c>
      <c r="AB78" s="264">
        <v>9040.14</v>
      </c>
      <c r="AC78" s="264">
        <v>23837.02</v>
      </c>
      <c r="AD78" s="264">
        <v>9146.2100000000009</v>
      </c>
      <c r="AE78" s="264">
        <f t="shared" si="4"/>
        <v>23837.02</v>
      </c>
      <c r="AF78" s="264">
        <f t="shared" si="4"/>
        <v>8509.7900000000009</v>
      </c>
    </row>
    <row r="79" spans="1:32">
      <c r="A79" s="24">
        <v>71</v>
      </c>
      <c r="C79" s="4" t="s">
        <v>1820</v>
      </c>
      <c r="D79" s="4" t="str">
        <f t="shared" si="5"/>
        <v>00048</v>
      </c>
      <c r="E79" s="264">
        <v>3971799.3200000003</v>
      </c>
      <c r="F79" s="264">
        <v>1312806.96</v>
      </c>
      <c r="G79" s="264">
        <v>3863493.63</v>
      </c>
      <c r="H79" s="264">
        <v>1194522.3</v>
      </c>
      <c r="I79" s="264">
        <v>3878926.6</v>
      </c>
      <c r="J79" s="264">
        <v>1205984</v>
      </c>
      <c r="K79" s="264">
        <v>3849269.2199999997</v>
      </c>
      <c r="L79" s="264">
        <v>1142869.51</v>
      </c>
      <c r="M79" s="264">
        <v>3872066.56</v>
      </c>
      <c r="N79" s="264">
        <v>1154589.01</v>
      </c>
      <c r="O79" s="264">
        <v>3874271.3</v>
      </c>
      <c r="P79" s="264">
        <v>1166076.1400000001</v>
      </c>
      <c r="Q79" s="264">
        <v>3850816.8</v>
      </c>
      <c r="R79" s="264">
        <v>1141452.55</v>
      </c>
      <c r="S79" s="264">
        <v>3849567.26</v>
      </c>
      <c r="T79" s="264">
        <v>1152876.6400000001</v>
      </c>
      <c r="U79" s="264">
        <v>3894827.79</v>
      </c>
      <c r="V79" s="264">
        <v>1164297.02</v>
      </c>
      <c r="W79" s="264">
        <v>3936679.34</v>
      </c>
      <c r="X79" s="264">
        <v>1175851.68</v>
      </c>
      <c r="Y79" s="264">
        <v>4028179.52</v>
      </c>
      <c r="Z79" s="264">
        <v>1187530.5</v>
      </c>
      <c r="AA79" s="264">
        <v>4030331.48</v>
      </c>
      <c r="AB79" s="264">
        <v>1199480.77</v>
      </c>
      <c r="AC79" s="264">
        <v>4107335.77</v>
      </c>
      <c r="AD79" s="264">
        <v>1211437.42</v>
      </c>
      <c r="AE79" s="264">
        <f t="shared" si="4"/>
        <v>3913999.7537500001</v>
      </c>
      <c r="AF79" s="264">
        <f t="shared" si="4"/>
        <v>1178971.0258333331</v>
      </c>
    </row>
    <row r="80" spans="1:32">
      <c r="A80" s="24">
        <v>72</v>
      </c>
      <c r="C80" s="4" t="s">
        <v>1821</v>
      </c>
      <c r="D80" s="4" t="str">
        <f t="shared" si="5"/>
        <v>00048</v>
      </c>
      <c r="E80" s="264">
        <v>127444.74</v>
      </c>
      <c r="F80" s="264">
        <v>113108.3</v>
      </c>
      <c r="G80" s="264">
        <v>127444.74</v>
      </c>
      <c r="H80" s="264">
        <v>113303.72</v>
      </c>
      <c r="I80" s="264">
        <v>127444.74</v>
      </c>
      <c r="J80" s="264">
        <v>113499.14</v>
      </c>
      <c r="K80" s="264">
        <v>127444.74</v>
      </c>
      <c r="L80" s="264">
        <v>113694.56</v>
      </c>
      <c r="M80" s="264">
        <v>127444.74</v>
      </c>
      <c r="N80" s="264">
        <v>113889.98</v>
      </c>
      <c r="O80" s="264">
        <v>127444.74</v>
      </c>
      <c r="P80" s="264">
        <v>114085.40000000001</v>
      </c>
      <c r="Q80" s="264">
        <v>127444.74</v>
      </c>
      <c r="R80" s="264">
        <v>114280.82</v>
      </c>
      <c r="S80" s="264">
        <v>127444.74</v>
      </c>
      <c r="T80" s="264">
        <v>114476.24</v>
      </c>
      <c r="U80" s="264">
        <v>127444.74</v>
      </c>
      <c r="V80" s="264">
        <v>114671.66</v>
      </c>
      <c r="W80" s="264">
        <v>127444.74</v>
      </c>
      <c r="X80" s="264">
        <v>114867.08</v>
      </c>
      <c r="Y80" s="264">
        <v>127444.74</v>
      </c>
      <c r="Z80" s="264">
        <v>115062.5</v>
      </c>
      <c r="AA80" s="264">
        <v>131231.01999999999</v>
      </c>
      <c r="AB80" s="264">
        <v>115257.92</v>
      </c>
      <c r="AC80" s="264">
        <v>131231.01999999999</v>
      </c>
      <c r="AD80" s="264">
        <v>115459.14</v>
      </c>
      <c r="AE80" s="264">
        <f t="shared" si="4"/>
        <v>127918.02500000002</v>
      </c>
      <c r="AF80" s="264">
        <f t="shared" si="4"/>
        <v>114281.06166666665</v>
      </c>
    </row>
    <row r="81" spans="1:32">
      <c r="A81" s="24">
        <v>73</v>
      </c>
      <c r="C81" s="4" t="s">
        <v>1822</v>
      </c>
      <c r="D81" s="4" t="str">
        <f t="shared" si="5"/>
        <v>00048</v>
      </c>
      <c r="E81" s="264">
        <v>29277.34</v>
      </c>
      <c r="F81" s="264">
        <v>17773.5</v>
      </c>
      <c r="G81" s="264">
        <v>29277.34</v>
      </c>
      <c r="H81" s="264">
        <v>17885.73</v>
      </c>
      <c r="I81" s="264">
        <v>29277.34</v>
      </c>
      <c r="J81" s="264">
        <v>17997.96</v>
      </c>
      <c r="K81" s="264">
        <v>29277.34</v>
      </c>
      <c r="L81" s="264">
        <v>18110.189999999999</v>
      </c>
      <c r="M81" s="264">
        <v>29277.34</v>
      </c>
      <c r="N81" s="264">
        <v>18222.420000000002</v>
      </c>
      <c r="O81" s="264">
        <v>29277.34</v>
      </c>
      <c r="P81" s="264">
        <v>18334.650000000001</v>
      </c>
      <c r="Q81" s="264">
        <v>29277.34</v>
      </c>
      <c r="R81" s="264">
        <v>18446.88</v>
      </c>
      <c r="S81" s="264">
        <v>29277.34</v>
      </c>
      <c r="T81" s="264">
        <v>18559.11</v>
      </c>
      <c r="U81" s="264">
        <v>29277.34</v>
      </c>
      <c r="V81" s="264">
        <v>18671.34</v>
      </c>
      <c r="W81" s="264">
        <v>29277.34</v>
      </c>
      <c r="X81" s="264">
        <v>18783.57</v>
      </c>
      <c r="Y81" s="264">
        <v>29277.34</v>
      </c>
      <c r="Z81" s="264">
        <v>18895.8</v>
      </c>
      <c r="AA81" s="264">
        <v>29277.34</v>
      </c>
      <c r="AB81" s="264">
        <v>19008.03</v>
      </c>
      <c r="AC81" s="264">
        <v>29277.34</v>
      </c>
      <c r="AD81" s="264">
        <v>19120.260000000002</v>
      </c>
      <c r="AE81" s="264">
        <f t="shared" si="4"/>
        <v>29277.340000000007</v>
      </c>
      <c r="AF81" s="264">
        <f t="shared" si="4"/>
        <v>18446.88</v>
      </c>
    </row>
    <row r="82" spans="1:32">
      <c r="A82" s="24">
        <v>74</v>
      </c>
      <c r="C82" s="4" t="s">
        <v>1823</v>
      </c>
      <c r="D82" s="4" t="str">
        <f t="shared" si="5"/>
        <v>00048</v>
      </c>
      <c r="E82" s="264">
        <v>2049363.37</v>
      </c>
      <c r="F82" s="264">
        <v>-57559.61</v>
      </c>
      <c r="G82" s="264">
        <v>2046909.69</v>
      </c>
      <c r="H82" s="264">
        <v>-47789.93</v>
      </c>
      <c r="I82" s="264">
        <v>2046909.69</v>
      </c>
      <c r="J82" s="264">
        <v>-38954.1</v>
      </c>
      <c r="K82" s="264">
        <v>2049564.57</v>
      </c>
      <c r="L82" s="264">
        <v>-30118.27</v>
      </c>
      <c r="M82" s="264">
        <v>2171182.4</v>
      </c>
      <c r="N82" s="264">
        <v>-20938.61</v>
      </c>
      <c r="O82" s="264">
        <v>2157237.2999999998</v>
      </c>
      <c r="P82" s="264">
        <v>-21649.010000000002</v>
      </c>
      <c r="Q82" s="264">
        <v>2009336.78</v>
      </c>
      <c r="R82" s="264">
        <v>-12336.94</v>
      </c>
      <c r="S82" s="264">
        <v>2013824.82</v>
      </c>
      <c r="T82" s="264">
        <v>-3663.3</v>
      </c>
      <c r="U82" s="264">
        <v>2013673.54</v>
      </c>
      <c r="V82" s="264">
        <v>-32883.51</v>
      </c>
      <c r="W82" s="264">
        <v>2013673.54</v>
      </c>
      <c r="X82" s="264">
        <v>-24191.16</v>
      </c>
      <c r="Y82" s="264">
        <v>2025302.52</v>
      </c>
      <c r="Z82" s="264">
        <v>-15498.81</v>
      </c>
      <c r="AA82" s="264">
        <v>2050850.76</v>
      </c>
      <c r="AB82" s="264">
        <v>-51808.15</v>
      </c>
      <c r="AC82" s="264">
        <v>2034522.57</v>
      </c>
      <c r="AD82" s="264">
        <v>-169172.19</v>
      </c>
      <c r="AE82" s="264">
        <f t="shared" si="4"/>
        <v>2053367.3816666666</v>
      </c>
      <c r="AF82" s="264">
        <f t="shared" si="4"/>
        <v>-34433.140833333338</v>
      </c>
    </row>
    <row r="83" spans="1:32">
      <c r="A83" s="24">
        <v>75</v>
      </c>
      <c r="C83" s="4" t="s">
        <v>1824</v>
      </c>
      <c r="D83" s="4" t="str">
        <f t="shared" si="5"/>
        <v>00048</v>
      </c>
      <c r="E83" s="264">
        <v>545338.96</v>
      </c>
      <c r="F83" s="264">
        <v>127285.94</v>
      </c>
      <c r="G83" s="264">
        <v>546461.77</v>
      </c>
      <c r="H83" s="264">
        <v>128703.82</v>
      </c>
      <c r="I83" s="264">
        <v>546461.77</v>
      </c>
      <c r="J83" s="264">
        <v>130124.62000000001</v>
      </c>
      <c r="K83" s="264">
        <v>546461.77</v>
      </c>
      <c r="L83" s="264">
        <v>131545.42000000001</v>
      </c>
      <c r="M83" s="264">
        <v>546461.77</v>
      </c>
      <c r="N83" s="264">
        <v>132966.22</v>
      </c>
      <c r="O83" s="264">
        <v>579833.59</v>
      </c>
      <c r="P83" s="264">
        <v>134387.01999999999</v>
      </c>
      <c r="Q83" s="264">
        <v>579833.59</v>
      </c>
      <c r="R83" s="264">
        <v>135894.59</v>
      </c>
      <c r="S83" s="264">
        <v>579833.59</v>
      </c>
      <c r="T83" s="264">
        <v>137402.16</v>
      </c>
      <c r="U83" s="264">
        <v>579833.59</v>
      </c>
      <c r="V83" s="264">
        <v>138909.73000000001</v>
      </c>
      <c r="W83" s="264">
        <v>579833.59</v>
      </c>
      <c r="X83" s="264">
        <v>141167.30000000002</v>
      </c>
      <c r="Y83" s="264">
        <v>579833.59</v>
      </c>
      <c r="Z83" s="264">
        <v>142674.87</v>
      </c>
      <c r="AA83" s="264">
        <v>579833.59</v>
      </c>
      <c r="AB83" s="264">
        <v>144182.44</v>
      </c>
      <c r="AC83" s="264">
        <v>579833.59</v>
      </c>
      <c r="AD83" s="264">
        <v>145690.01</v>
      </c>
      <c r="AE83" s="264">
        <f t="shared" si="4"/>
        <v>567272.37374999991</v>
      </c>
      <c r="AF83" s="264">
        <f t="shared" si="4"/>
        <v>136203.84708333333</v>
      </c>
    </row>
    <row r="84" spans="1:32">
      <c r="A84" s="24">
        <v>76</v>
      </c>
      <c r="C84" s="4" t="s">
        <v>1825</v>
      </c>
      <c r="D84" s="4" t="str">
        <f t="shared" si="5"/>
        <v>00048</v>
      </c>
      <c r="E84" s="264">
        <v>201807.75</v>
      </c>
      <c r="F84" s="264">
        <v>102554</v>
      </c>
      <c r="G84" s="264">
        <v>201807.75</v>
      </c>
      <c r="H84" s="264">
        <v>103320.87</v>
      </c>
      <c r="I84" s="264">
        <v>201807.75</v>
      </c>
      <c r="J84" s="264">
        <v>104087.74</v>
      </c>
      <c r="K84" s="264">
        <v>201807.75</v>
      </c>
      <c r="L84" s="264">
        <v>104854.61</v>
      </c>
      <c r="M84" s="264">
        <v>201807.75</v>
      </c>
      <c r="N84" s="264">
        <v>105621.48</v>
      </c>
      <c r="O84" s="264">
        <v>201807.75</v>
      </c>
      <c r="P84" s="264">
        <v>106388.35</v>
      </c>
      <c r="Q84" s="264">
        <v>194646.76</v>
      </c>
      <c r="R84" s="264">
        <v>99994.23</v>
      </c>
      <c r="S84" s="264">
        <v>194646.76</v>
      </c>
      <c r="T84" s="264">
        <v>100733.89</v>
      </c>
      <c r="U84" s="264">
        <v>194646.76</v>
      </c>
      <c r="V84" s="264">
        <v>101473.55</v>
      </c>
      <c r="W84" s="264">
        <v>194646.76</v>
      </c>
      <c r="X84" s="264">
        <v>102213.21</v>
      </c>
      <c r="Y84" s="264">
        <v>194646.76</v>
      </c>
      <c r="Z84" s="264">
        <v>102952.87</v>
      </c>
      <c r="AA84" s="264">
        <v>194646.76</v>
      </c>
      <c r="AB84" s="264">
        <v>103692.53</v>
      </c>
      <c r="AC84" s="264">
        <v>194646.76</v>
      </c>
      <c r="AD84" s="264">
        <v>104432.19</v>
      </c>
      <c r="AE84" s="264">
        <f t="shared" si="4"/>
        <v>197928.88041666665</v>
      </c>
      <c r="AF84" s="264">
        <f t="shared" si="4"/>
        <v>103235.53541666665</v>
      </c>
    </row>
    <row r="85" spans="1:32">
      <c r="A85" s="24">
        <v>77</v>
      </c>
      <c r="C85" s="4" t="s">
        <v>1826</v>
      </c>
      <c r="D85" s="4" t="str">
        <f t="shared" si="5"/>
        <v>00048</v>
      </c>
      <c r="E85" s="264">
        <v>927395.86</v>
      </c>
      <c r="F85" s="264">
        <v>47660.840000000004</v>
      </c>
      <c r="G85" s="264">
        <v>924527.73</v>
      </c>
      <c r="H85" s="264">
        <v>52034.130000000005</v>
      </c>
      <c r="I85" s="264">
        <v>924527.73</v>
      </c>
      <c r="J85" s="264">
        <v>59253.15</v>
      </c>
      <c r="K85" s="264">
        <v>924527.73</v>
      </c>
      <c r="L85" s="264">
        <v>66472.17</v>
      </c>
      <c r="M85" s="264">
        <v>924527.73</v>
      </c>
      <c r="N85" s="264">
        <v>73691.19</v>
      </c>
      <c r="O85" s="264">
        <v>924527.73</v>
      </c>
      <c r="P85" s="264">
        <v>80910.210000000006</v>
      </c>
      <c r="Q85" s="264">
        <v>924527.73</v>
      </c>
      <c r="R85" s="264">
        <v>88129.23</v>
      </c>
      <c r="S85" s="264">
        <v>924527.73</v>
      </c>
      <c r="T85" s="264">
        <v>95348.25</v>
      </c>
      <c r="U85" s="264">
        <v>924527.73</v>
      </c>
      <c r="V85" s="264">
        <v>102567.27</v>
      </c>
      <c r="W85" s="264">
        <v>927875.3</v>
      </c>
      <c r="X85" s="264">
        <v>109786.29000000001</v>
      </c>
      <c r="Y85" s="264">
        <v>927875.3</v>
      </c>
      <c r="Z85" s="264">
        <v>117031.45</v>
      </c>
      <c r="AA85" s="264">
        <v>934040.91</v>
      </c>
      <c r="AB85" s="264">
        <v>124276.61</v>
      </c>
      <c r="AC85" s="264">
        <v>934040.91</v>
      </c>
      <c r="AD85" s="264">
        <v>131569.91</v>
      </c>
      <c r="AE85" s="264">
        <f t="shared" si="4"/>
        <v>926394.31125000014</v>
      </c>
      <c r="AF85" s="264">
        <f t="shared" si="4"/>
        <v>88259.610416666663</v>
      </c>
    </row>
    <row r="86" spans="1:32">
      <c r="A86" s="24">
        <v>78</v>
      </c>
      <c r="C86" s="4" t="s">
        <v>1827</v>
      </c>
      <c r="D86" s="4" t="str">
        <f t="shared" si="5"/>
        <v>00048</v>
      </c>
      <c r="E86" s="264">
        <v>3110302.22</v>
      </c>
      <c r="F86" s="264">
        <v>2475171.79</v>
      </c>
      <c r="G86" s="264">
        <v>3110302.22</v>
      </c>
      <c r="H86" s="264">
        <v>2475508.7400000002</v>
      </c>
      <c r="I86" s="264">
        <v>3110436.9</v>
      </c>
      <c r="J86" s="264">
        <v>2475845.69</v>
      </c>
      <c r="K86" s="264">
        <v>3111725.53</v>
      </c>
      <c r="L86" s="264">
        <v>2476182.65</v>
      </c>
      <c r="M86" s="264">
        <v>3111725.53</v>
      </c>
      <c r="N86" s="264">
        <v>2476519.75</v>
      </c>
      <c r="O86" s="264">
        <v>3111603.35</v>
      </c>
      <c r="P86" s="264">
        <v>2476856.85</v>
      </c>
      <c r="Q86" s="264">
        <v>3111603.35</v>
      </c>
      <c r="R86" s="264">
        <v>2477193.94</v>
      </c>
      <c r="S86" s="264">
        <v>3111603.35</v>
      </c>
      <c r="T86" s="264">
        <v>2477531.0300000003</v>
      </c>
      <c r="U86" s="264">
        <v>3117022.37</v>
      </c>
      <c r="V86" s="264">
        <v>2477868.12</v>
      </c>
      <c r="W86" s="264">
        <v>3121124.58</v>
      </c>
      <c r="X86" s="264">
        <v>2478205.7999999998</v>
      </c>
      <c r="Y86" s="264">
        <v>3121124.58</v>
      </c>
      <c r="Z86" s="264">
        <v>2478543.92</v>
      </c>
      <c r="AA86" s="264">
        <v>3121124.58</v>
      </c>
      <c r="AB86" s="264">
        <v>2478882.04</v>
      </c>
      <c r="AC86" s="264">
        <v>3154329.2</v>
      </c>
      <c r="AD86" s="264">
        <v>2479220.16</v>
      </c>
      <c r="AE86" s="264">
        <f t="shared" si="4"/>
        <v>3115976.0041666664</v>
      </c>
      <c r="AF86" s="264">
        <f t="shared" si="4"/>
        <v>2477194.5420833337</v>
      </c>
    </row>
    <row r="87" spans="1:32">
      <c r="A87" s="24">
        <v>79</v>
      </c>
      <c r="C87" s="4" t="s">
        <v>1828</v>
      </c>
      <c r="D87" s="4" t="str">
        <f t="shared" si="5"/>
        <v>00048</v>
      </c>
      <c r="E87" s="264">
        <v>550206.34</v>
      </c>
      <c r="F87" s="264">
        <v>320770.28000000003</v>
      </c>
      <c r="G87" s="264">
        <v>550206.34</v>
      </c>
      <c r="H87" s="264">
        <v>324979.36</v>
      </c>
      <c r="I87" s="264">
        <v>550206.34</v>
      </c>
      <c r="J87" s="264">
        <v>329188.44</v>
      </c>
      <c r="K87" s="264">
        <v>550206.34</v>
      </c>
      <c r="L87" s="264">
        <v>333397.52</v>
      </c>
      <c r="M87" s="264">
        <v>550206.34</v>
      </c>
      <c r="N87" s="264">
        <v>337606.60000000003</v>
      </c>
      <c r="O87" s="264">
        <v>550206.34</v>
      </c>
      <c r="P87" s="264">
        <v>341815.68</v>
      </c>
      <c r="Q87" s="264">
        <v>525951.92000000004</v>
      </c>
      <c r="R87" s="264">
        <v>321770.34000000003</v>
      </c>
      <c r="S87" s="264">
        <v>525951.92000000004</v>
      </c>
      <c r="T87" s="264">
        <v>325793.87</v>
      </c>
      <c r="U87" s="264">
        <v>525951.92000000004</v>
      </c>
      <c r="V87" s="264">
        <v>329817.40000000002</v>
      </c>
      <c r="W87" s="264">
        <v>525951.92000000004</v>
      </c>
      <c r="X87" s="264">
        <v>333840.93</v>
      </c>
      <c r="Y87" s="264">
        <v>525951.92000000004</v>
      </c>
      <c r="Z87" s="264">
        <v>337864.46</v>
      </c>
      <c r="AA87" s="264">
        <v>525951.92000000004</v>
      </c>
      <c r="AB87" s="264">
        <v>341887.99</v>
      </c>
      <c r="AC87" s="264">
        <v>525951.92000000004</v>
      </c>
      <c r="AD87" s="264">
        <v>345911.52</v>
      </c>
      <c r="AE87" s="264">
        <f t="shared" si="4"/>
        <v>537068.52916666667</v>
      </c>
      <c r="AF87" s="264">
        <f t="shared" si="4"/>
        <v>332608.62416666665</v>
      </c>
    </row>
    <row r="88" spans="1:32">
      <c r="A88" s="24">
        <v>80</v>
      </c>
      <c r="C88" s="4" t="s">
        <v>1829</v>
      </c>
      <c r="D88" s="4" t="str">
        <f t="shared" si="5"/>
        <v>00048</v>
      </c>
      <c r="E88" s="264">
        <v>10888.06</v>
      </c>
      <c r="F88" s="264">
        <v>-4395.76</v>
      </c>
      <c r="G88" s="264">
        <v>10888.06</v>
      </c>
      <c r="H88" s="264">
        <v>-4300.3999999999996</v>
      </c>
      <c r="I88" s="264">
        <v>10888.06</v>
      </c>
      <c r="J88" s="264">
        <v>-4205.04</v>
      </c>
      <c r="K88" s="264">
        <v>10888.06</v>
      </c>
      <c r="L88" s="264">
        <v>-4109.68</v>
      </c>
      <c r="M88" s="264">
        <v>10888.06</v>
      </c>
      <c r="N88" s="264">
        <v>-4014.32</v>
      </c>
      <c r="O88" s="264">
        <v>12985.710000000001</v>
      </c>
      <c r="P88" s="264">
        <v>-3918.96</v>
      </c>
      <c r="Q88" s="264">
        <v>12985.710000000001</v>
      </c>
      <c r="R88" s="264">
        <v>-3805.23</v>
      </c>
      <c r="S88" s="264">
        <v>12985.710000000001</v>
      </c>
      <c r="T88" s="264">
        <v>-3691.5</v>
      </c>
      <c r="U88" s="264">
        <v>12985.710000000001</v>
      </c>
      <c r="V88" s="264">
        <v>-3577.77</v>
      </c>
      <c r="W88" s="264">
        <v>12985.710000000001</v>
      </c>
      <c r="X88" s="264">
        <v>-3464.04</v>
      </c>
      <c r="Y88" s="264">
        <v>12985.710000000001</v>
      </c>
      <c r="Z88" s="264">
        <v>-3350.31</v>
      </c>
      <c r="AA88" s="264">
        <v>12985.710000000001</v>
      </c>
      <c r="AB88" s="264">
        <v>-3236.58</v>
      </c>
      <c r="AC88" s="264">
        <v>12985.710000000001</v>
      </c>
      <c r="AD88" s="264">
        <v>-3122.85</v>
      </c>
      <c r="AE88" s="264">
        <f t="shared" si="4"/>
        <v>12199.091250000003</v>
      </c>
      <c r="AF88" s="264">
        <f t="shared" si="4"/>
        <v>-3786.094583333333</v>
      </c>
    </row>
    <row r="89" spans="1:32">
      <c r="A89" s="24">
        <v>81</v>
      </c>
      <c r="B89" s="266" t="s">
        <v>101</v>
      </c>
      <c r="C89" s="267"/>
      <c r="D89" s="266" t="s">
        <v>1830</v>
      </c>
      <c r="E89" s="268">
        <f t="shared" ref="E89:AF89" si="6">SUBTOTAL(9,E48:E88)</f>
        <v>576210019.71000016</v>
      </c>
      <c r="F89" s="268">
        <f t="shared" si="6"/>
        <v>304692694.86999989</v>
      </c>
      <c r="G89" s="268">
        <f t="shared" si="6"/>
        <v>577681602.6400001</v>
      </c>
      <c r="H89" s="268">
        <f t="shared" si="6"/>
        <v>309480837.00000012</v>
      </c>
      <c r="I89" s="268">
        <f t="shared" si="6"/>
        <v>578887129.49000013</v>
      </c>
      <c r="J89" s="268">
        <f t="shared" si="6"/>
        <v>310705295.72999996</v>
      </c>
      <c r="K89" s="268">
        <f t="shared" si="6"/>
        <v>580920985.41999996</v>
      </c>
      <c r="L89" s="268">
        <f t="shared" si="6"/>
        <v>311239204.5999999</v>
      </c>
      <c r="M89" s="268">
        <f t="shared" si="6"/>
        <v>583272418.28999996</v>
      </c>
      <c r="N89" s="268">
        <f t="shared" si="6"/>
        <v>312471439.2100001</v>
      </c>
      <c r="O89" s="268">
        <f t="shared" si="6"/>
        <v>584216840.6500001</v>
      </c>
      <c r="P89" s="268">
        <f t="shared" si="6"/>
        <v>313749995.52000004</v>
      </c>
      <c r="Q89" s="268">
        <f t="shared" si="6"/>
        <v>585599739.0799998</v>
      </c>
      <c r="R89" s="268">
        <f t="shared" si="6"/>
        <v>314596173.39999992</v>
      </c>
      <c r="S89" s="268">
        <f t="shared" si="6"/>
        <v>588618364.70000005</v>
      </c>
      <c r="T89" s="268">
        <f t="shared" si="6"/>
        <v>315768871.25</v>
      </c>
      <c r="U89" s="268">
        <f t="shared" si="6"/>
        <v>598832328.44999993</v>
      </c>
      <c r="V89" s="268">
        <f t="shared" si="6"/>
        <v>316875748.73000002</v>
      </c>
      <c r="W89" s="268">
        <f t="shared" si="6"/>
        <v>601967532.84999979</v>
      </c>
      <c r="X89" s="268">
        <f t="shared" si="6"/>
        <v>317897034.14999998</v>
      </c>
      <c r="Y89" s="268">
        <f t="shared" si="6"/>
        <v>607446404.66999972</v>
      </c>
      <c r="Z89" s="268">
        <f t="shared" si="6"/>
        <v>319107740.81999993</v>
      </c>
      <c r="AA89" s="268">
        <f t="shared" si="6"/>
        <v>608700709.48999977</v>
      </c>
      <c r="AB89" s="268">
        <f t="shared" si="6"/>
        <v>320289045.50000006</v>
      </c>
      <c r="AC89" s="268">
        <f t="shared" si="6"/>
        <v>614373017.27999997</v>
      </c>
      <c r="AD89" s="268">
        <f t="shared" si="6"/>
        <v>321296055.43999994</v>
      </c>
      <c r="AE89" s="268">
        <f t="shared" si="6"/>
        <v>590952964.51874983</v>
      </c>
      <c r="AF89" s="268">
        <f t="shared" si="6"/>
        <v>314597980.08874995</v>
      </c>
    </row>
    <row r="90" spans="1:32">
      <c r="A90" s="24">
        <v>82</v>
      </c>
      <c r="B90" s="262" t="s">
        <v>1831</v>
      </c>
      <c r="C90" s="262" t="s">
        <v>1832</v>
      </c>
      <c r="D90" s="269"/>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row>
    <row r="91" spans="1:32">
      <c r="A91" s="24">
        <v>83</v>
      </c>
      <c r="C91" s="4" t="s">
        <v>1833</v>
      </c>
      <c r="D91" s="4" t="str">
        <f>RIGHT(C91,5)</f>
        <v>00100</v>
      </c>
      <c r="E91" s="264">
        <v>152066.08000000002</v>
      </c>
      <c r="F91" s="264">
        <v>0</v>
      </c>
      <c r="G91" s="264">
        <v>152066.08000000002</v>
      </c>
      <c r="H91" s="264">
        <v>0</v>
      </c>
      <c r="I91" s="264">
        <v>152066.08000000002</v>
      </c>
      <c r="J91" s="264">
        <v>0</v>
      </c>
      <c r="K91" s="264">
        <v>152066.08000000002</v>
      </c>
      <c r="L91" s="264">
        <v>0</v>
      </c>
      <c r="M91" s="264">
        <v>152066.08000000002</v>
      </c>
      <c r="N91" s="264">
        <v>0</v>
      </c>
      <c r="O91" s="264">
        <v>152066.08000000002</v>
      </c>
      <c r="P91" s="264">
        <v>0</v>
      </c>
      <c r="Q91" s="264">
        <v>152066.08000000002</v>
      </c>
      <c r="R91" s="264">
        <v>0</v>
      </c>
      <c r="S91" s="264">
        <v>152066.08000000002</v>
      </c>
      <c r="T91" s="264">
        <v>0</v>
      </c>
      <c r="U91" s="264">
        <v>152066.08000000002</v>
      </c>
      <c r="V91" s="264">
        <v>0</v>
      </c>
      <c r="W91" s="264">
        <v>152066.08000000002</v>
      </c>
      <c r="X91" s="264">
        <v>0</v>
      </c>
      <c r="Y91" s="264">
        <v>152066.08000000002</v>
      </c>
      <c r="Z91" s="264">
        <v>0</v>
      </c>
      <c r="AA91" s="264">
        <v>152066.08000000002</v>
      </c>
      <c r="AB91" s="264">
        <v>0</v>
      </c>
      <c r="AC91" s="264">
        <v>152066.08000000002</v>
      </c>
      <c r="AD91" s="264">
        <v>0</v>
      </c>
      <c r="AE91" s="264">
        <f t="shared" ref="AE91:AF129" si="7">+(E91+AC91+(+G91+I91+K91+M91+O91+Q91+S91+U91+W91+Y91+AA91)*2)/24</f>
        <v>152066.08000000005</v>
      </c>
      <c r="AF91" s="264">
        <f t="shared" si="7"/>
        <v>0</v>
      </c>
    </row>
    <row r="92" spans="1:32">
      <c r="A92" s="24">
        <v>84</v>
      </c>
      <c r="C92" s="4" t="s">
        <v>1834</v>
      </c>
      <c r="D92" s="265" t="s">
        <v>1835</v>
      </c>
      <c r="E92" s="264">
        <v>0</v>
      </c>
      <c r="F92" s="264">
        <v>0</v>
      </c>
      <c r="G92" s="264">
        <v>0</v>
      </c>
      <c r="H92" s="264">
        <v>0</v>
      </c>
      <c r="I92" s="264">
        <v>0</v>
      </c>
      <c r="J92" s="264">
        <v>0</v>
      </c>
      <c r="K92" s="264">
        <v>0</v>
      </c>
      <c r="L92" s="264">
        <v>0</v>
      </c>
      <c r="M92" s="264">
        <v>0</v>
      </c>
      <c r="N92" s="264">
        <v>0</v>
      </c>
      <c r="O92" s="264">
        <v>0</v>
      </c>
      <c r="P92" s="264">
        <v>0</v>
      </c>
      <c r="Q92" s="264">
        <v>0</v>
      </c>
      <c r="R92" s="264">
        <v>0</v>
      </c>
      <c r="S92" s="264">
        <v>1826757.9</v>
      </c>
      <c r="T92" s="264">
        <v>578418.15</v>
      </c>
      <c r="U92" s="264">
        <v>1826757.9</v>
      </c>
      <c r="V92" s="264">
        <v>593641.13</v>
      </c>
      <c r="W92" s="264">
        <v>1826757.9</v>
      </c>
      <c r="X92" s="264">
        <v>608864.11</v>
      </c>
      <c r="Y92" s="264">
        <v>1826757.9</v>
      </c>
      <c r="Z92" s="264">
        <v>624087.09</v>
      </c>
      <c r="AA92" s="264">
        <v>1826757.9</v>
      </c>
      <c r="AB92" s="264">
        <v>639310.07000000007</v>
      </c>
      <c r="AC92" s="264">
        <v>1826757.9</v>
      </c>
      <c r="AD92" s="264">
        <v>654533.05000000005</v>
      </c>
      <c r="AE92" s="264">
        <f t="shared" si="7"/>
        <v>837264.03749999998</v>
      </c>
      <c r="AF92" s="264">
        <f t="shared" si="7"/>
        <v>280965.58958333329</v>
      </c>
    </row>
    <row r="93" spans="1:32">
      <c r="A93" s="24">
        <v>85</v>
      </c>
      <c r="C93" s="4" t="s">
        <v>1836</v>
      </c>
      <c r="D93" s="265" t="s">
        <v>1835</v>
      </c>
      <c r="E93" s="264">
        <v>0</v>
      </c>
      <c r="F93" s="264">
        <v>0</v>
      </c>
      <c r="G93" s="264">
        <v>0</v>
      </c>
      <c r="H93" s="264">
        <v>0</v>
      </c>
      <c r="I93" s="264">
        <v>0</v>
      </c>
      <c r="J93" s="264">
        <v>0</v>
      </c>
      <c r="K93" s="264">
        <v>0</v>
      </c>
      <c r="L93" s="264">
        <v>0</v>
      </c>
      <c r="M93" s="264">
        <v>0</v>
      </c>
      <c r="N93" s="264">
        <v>0</v>
      </c>
      <c r="O93" s="264">
        <v>0</v>
      </c>
      <c r="P93" s="264">
        <v>0</v>
      </c>
      <c r="Q93" s="264">
        <v>0</v>
      </c>
      <c r="R93" s="264">
        <v>0</v>
      </c>
      <c r="S93" s="264">
        <v>2070368.79</v>
      </c>
      <c r="T93" s="264">
        <v>183036.69</v>
      </c>
      <c r="U93" s="264">
        <v>2070368.79</v>
      </c>
      <c r="V93" s="264">
        <v>200289.76</v>
      </c>
      <c r="W93" s="264">
        <v>2070368.79</v>
      </c>
      <c r="X93" s="264">
        <v>217542.83000000002</v>
      </c>
      <c r="Y93" s="264">
        <v>2070368.79</v>
      </c>
      <c r="Z93" s="264">
        <v>234795.9</v>
      </c>
      <c r="AA93" s="264">
        <v>2076102.74</v>
      </c>
      <c r="AB93" s="264">
        <v>252611.99000000002</v>
      </c>
      <c r="AC93" s="264">
        <v>2077384.42</v>
      </c>
      <c r="AD93" s="264">
        <v>269912.84999999998</v>
      </c>
      <c r="AE93" s="264">
        <f t="shared" si="7"/>
        <v>949689.17583333328</v>
      </c>
      <c r="AF93" s="264">
        <f t="shared" si="7"/>
        <v>101936.13291666668</v>
      </c>
    </row>
    <row r="94" spans="1:32">
      <c r="A94" s="24">
        <v>86</v>
      </c>
      <c r="C94" s="4" t="s">
        <v>1837</v>
      </c>
      <c r="D94" s="265" t="s">
        <v>1835</v>
      </c>
      <c r="E94" s="264">
        <v>0</v>
      </c>
      <c r="F94" s="264">
        <v>0</v>
      </c>
      <c r="G94" s="264">
        <v>0</v>
      </c>
      <c r="H94" s="264">
        <v>0</v>
      </c>
      <c r="I94" s="264">
        <v>0</v>
      </c>
      <c r="J94" s="264">
        <v>0</v>
      </c>
      <c r="K94" s="264">
        <v>0</v>
      </c>
      <c r="L94" s="264">
        <v>0</v>
      </c>
      <c r="M94" s="264">
        <v>0</v>
      </c>
      <c r="N94" s="264">
        <v>0</v>
      </c>
      <c r="O94" s="264">
        <v>0</v>
      </c>
      <c r="P94" s="264">
        <v>0</v>
      </c>
      <c r="Q94" s="264">
        <v>0</v>
      </c>
      <c r="R94" s="264">
        <v>0</v>
      </c>
      <c r="S94" s="264">
        <v>0</v>
      </c>
      <c r="T94" s="264">
        <v>0</v>
      </c>
      <c r="U94" s="264">
        <v>0</v>
      </c>
      <c r="V94" s="264">
        <v>0</v>
      </c>
      <c r="W94" s="264">
        <v>0</v>
      </c>
      <c r="X94" s="264">
        <v>0</v>
      </c>
      <c r="Y94" s="264">
        <v>0</v>
      </c>
      <c r="Z94" s="264">
        <v>0</v>
      </c>
      <c r="AA94" s="264">
        <v>0</v>
      </c>
      <c r="AB94" s="264">
        <v>0</v>
      </c>
      <c r="AC94" s="264">
        <v>0</v>
      </c>
      <c r="AD94" s="264">
        <v>0</v>
      </c>
      <c r="AE94" s="264">
        <f t="shared" si="7"/>
        <v>0</v>
      </c>
      <c r="AF94" s="264">
        <f t="shared" si="7"/>
        <v>0</v>
      </c>
    </row>
    <row r="95" spans="1:32">
      <c r="A95" s="24">
        <v>87</v>
      </c>
      <c r="C95" s="4" t="s">
        <v>1838</v>
      </c>
      <c r="D95" s="265" t="s">
        <v>1835</v>
      </c>
      <c r="E95" s="264">
        <v>0</v>
      </c>
      <c r="F95" s="264">
        <v>0</v>
      </c>
      <c r="G95" s="264">
        <v>0</v>
      </c>
      <c r="H95" s="264">
        <v>0</v>
      </c>
      <c r="I95" s="264">
        <v>0</v>
      </c>
      <c r="J95" s="264">
        <v>0</v>
      </c>
      <c r="K95" s="264">
        <v>0</v>
      </c>
      <c r="L95" s="264">
        <v>0</v>
      </c>
      <c r="M95" s="264">
        <v>0</v>
      </c>
      <c r="N95" s="264">
        <v>0</v>
      </c>
      <c r="O95" s="264">
        <v>0</v>
      </c>
      <c r="P95" s="264">
        <v>0</v>
      </c>
      <c r="Q95" s="264">
        <v>0</v>
      </c>
      <c r="R95" s="264">
        <v>0</v>
      </c>
      <c r="S95" s="264">
        <v>4188146.93</v>
      </c>
      <c r="T95" s="264">
        <v>1247308.1499999999</v>
      </c>
      <c r="U95" s="264">
        <v>4188146.93</v>
      </c>
      <c r="V95" s="264">
        <v>1274147.19</v>
      </c>
      <c r="W95" s="264">
        <v>4188146.93</v>
      </c>
      <c r="X95" s="264">
        <v>1300986.23</v>
      </c>
      <c r="Y95" s="264">
        <v>4188146.93</v>
      </c>
      <c r="Z95" s="264">
        <v>1327825.27</v>
      </c>
      <c r="AA95" s="264">
        <v>4188146.93</v>
      </c>
      <c r="AB95" s="264">
        <v>1354664.31</v>
      </c>
      <c r="AC95" s="264">
        <v>4188146.93</v>
      </c>
      <c r="AD95" s="264">
        <v>1381503.35</v>
      </c>
      <c r="AE95" s="264">
        <f t="shared" si="7"/>
        <v>1919567.3429166668</v>
      </c>
      <c r="AF95" s="264">
        <f t="shared" si="7"/>
        <v>599640.23541666672</v>
      </c>
    </row>
    <row r="96" spans="1:32">
      <c r="A96" s="24">
        <v>88</v>
      </c>
      <c r="C96" s="4" t="s">
        <v>1839</v>
      </c>
      <c r="D96" s="265" t="s">
        <v>1835</v>
      </c>
      <c r="E96" s="264">
        <v>0</v>
      </c>
      <c r="F96" s="264">
        <v>0</v>
      </c>
      <c r="G96" s="264">
        <v>0</v>
      </c>
      <c r="H96" s="264">
        <v>0</v>
      </c>
      <c r="I96" s="264">
        <v>0</v>
      </c>
      <c r="J96" s="264">
        <v>0</v>
      </c>
      <c r="K96" s="264">
        <v>0</v>
      </c>
      <c r="L96" s="264">
        <v>0</v>
      </c>
      <c r="M96" s="264">
        <v>0</v>
      </c>
      <c r="N96" s="264">
        <v>0</v>
      </c>
      <c r="O96" s="264">
        <v>0</v>
      </c>
      <c r="P96" s="264">
        <v>0</v>
      </c>
      <c r="Q96" s="264">
        <v>0</v>
      </c>
      <c r="R96" s="264">
        <v>0</v>
      </c>
      <c r="S96" s="264">
        <v>695173.17</v>
      </c>
      <c r="T96" s="264">
        <v>266316</v>
      </c>
      <c r="U96" s="264">
        <v>695173.17</v>
      </c>
      <c r="V96" s="264">
        <v>270452.28000000003</v>
      </c>
      <c r="W96" s="264">
        <v>695173.17</v>
      </c>
      <c r="X96" s="264">
        <v>274588.56</v>
      </c>
      <c r="Y96" s="264">
        <v>695173.17</v>
      </c>
      <c r="Z96" s="264">
        <v>278724.84000000003</v>
      </c>
      <c r="AA96" s="264">
        <v>695173.17</v>
      </c>
      <c r="AB96" s="264">
        <v>282861.12</v>
      </c>
      <c r="AC96" s="264">
        <v>695173.17</v>
      </c>
      <c r="AD96" s="264">
        <v>286997.40000000002</v>
      </c>
      <c r="AE96" s="264">
        <f t="shared" si="7"/>
        <v>318621.03625</v>
      </c>
      <c r="AF96" s="264">
        <f t="shared" si="7"/>
        <v>126370.12500000001</v>
      </c>
    </row>
    <row r="97" spans="1:32">
      <c r="A97" s="24">
        <v>89</v>
      </c>
      <c r="C97" s="4" t="s">
        <v>1840</v>
      </c>
      <c r="D97" s="265" t="s">
        <v>1835</v>
      </c>
      <c r="E97" s="264">
        <v>0</v>
      </c>
      <c r="F97" s="264">
        <v>0</v>
      </c>
      <c r="G97" s="264">
        <v>0</v>
      </c>
      <c r="H97" s="264">
        <v>0</v>
      </c>
      <c r="I97" s="264">
        <v>0</v>
      </c>
      <c r="J97" s="264">
        <v>0</v>
      </c>
      <c r="K97" s="264">
        <v>0</v>
      </c>
      <c r="L97" s="264">
        <v>0</v>
      </c>
      <c r="M97" s="264">
        <v>0</v>
      </c>
      <c r="N97" s="264">
        <v>0</v>
      </c>
      <c r="O97" s="264">
        <v>0</v>
      </c>
      <c r="P97" s="264">
        <v>0</v>
      </c>
      <c r="Q97" s="264">
        <v>0</v>
      </c>
      <c r="R97" s="264">
        <v>0</v>
      </c>
      <c r="S97" s="264">
        <v>2037970.86</v>
      </c>
      <c r="T97" s="264">
        <v>705285.65</v>
      </c>
      <c r="U97" s="264">
        <v>2037970.86</v>
      </c>
      <c r="V97" s="264">
        <v>717411.58</v>
      </c>
      <c r="W97" s="264">
        <v>2037970.86</v>
      </c>
      <c r="X97" s="264">
        <v>729537.51</v>
      </c>
      <c r="Y97" s="264">
        <v>2037970.86</v>
      </c>
      <c r="Z97" s="264">
        <v>741663.44000000006</v>
      </c>
      <c r="AA97" s="264">
        <v>2037970.86</v>
      </c>
      <c r="AB97" s="264">
        <v>753789.37</v>
      </c>
      <c r="AC97" s="264">
        <v>2037970.86</v>
      </c>
      <c r="AD97" s="264">
        <v>765915.3</v>
      </c>
      <c r="AE97" s="264">
        <f t="shared" si="7"/>
        <v>934069.97750000004</v>
      </c>
      <c r="AF97" s="264">
        <f t="shared" si="7"/>
        <v>335887.10000000003</v>
      </c>
    </row>
    <row r="98" spans="1:32">
      <c r="A98" s="24">
        <v>90</v>
      </c>
      <c r="C98" s="4" t="s">
        <v>1841</v>
      </c>
      <c r="D98" s="265" t="s">
        <v>1835</v>
      </c>
      <c r="E98" s="264">
        <v>0</v>
      </c>
      <c r="F98" s="264">
        <v>0</v>
      </c>
      <c r="G98" s="264">
        <v>0</v>
      </c>
      <c r="H98" s="264">
        <v>0</v>
      </c>
      <c r="I98" s="264">
        <v>0</v>
      </c>
      <c r="J98" s="264">
        <v>0</v>
      </c>
      <c r="K98" s="264">
        <v>0</v>
      </c>
      <c r="L98" s="264">
        <v>0</v>
      </c>
      <c r="M98" s="264">
        <v>0</v>
      </c>
      <c r="N98" s="264">
        <v>0</v>
      </c>
      <c r="O98" s="264">
        <v>0</v>
      </c>
      <c r="P98" s="264">
        <v>0</v>
      </c>
      <c r="Q98" s="264">
        <v>0</v>
      </c>
      <c r="R98" s="264">
        <v>0</v>
      </c>
      <c r="S98" s="264">
        <v>17063587.219999999</v>
      </c>
      <c r="T98" s="264">
        <v>5112326.0599999996</v>
      </c>
      <c r="U98" s="264">
        <v>17063587.219999999</v>
      </c>
      <c r="V98" s="264">
        <v>5207171.17</v>
      </c>
      <c r="W98" s="264">
        <v>17063587.219999999</v>
      </c>
      <c r="X98" s="264">
        <v>5302016.28</v>
      </c>
      <c r="Y98" s="264">
        <v>17063587.219999999</v>
      </c>
      <c r="Z98" s="264">
        <v>5396861.3899999997</v>
      </c>
      <c r="AA98" s="264">
        <v>17063587.219999999</v>
      </c>
      <c r="AB98" s="264">
        <v>5491706.5</v>
      </c>
      <c r="AC98" s="264">
        <v>17063587.219999999</v>
      </c>
      <c r="AD98" s="264">
        <v>5586551.6100000003</v>
      </c>
      <c r="AE98" s="264">
        <f t="shared" si="7"/>
        <v>7820810.8091666661</v>
      </c>
      <c r="AF98" s="264">
        <f t="shared" si="7"/>
        <v>2441946.4337500003</v>
      </c>
    </row>
    <row r="99" spans="1:32">
      <c r="A99" s="24">
        <v>91</v>
      </c>
      <c r="C99" s="4" t="s">
        <v>1842</v>
      </c>
      <c r="D99" s="265" t="s">
        <v>1835</v>
      </c>
      <c r="E99" s="264">
        <v>0</v>
      </c>
      <c r="F99" s="264">
        <v>0</v>
      </c>
      <c r="G99" s="264">
        <v>0</v>
      </c>
      <c r="H99" s="264">
        <v>0</v>
      </c>
      <c r="I99" s="264">
        <v>0</v>
      </c>
      <c r="J99" s="264">
        <v>0</v>
      </c>
      <c r="K99" s="264">
        <v>0</v>
      </c>
      <c r="L99" s="264">
        <v>0</v>
      </c>
      <c r="M99" s="264">
        <v>0</v>
      </c>
      <c r="N99" s="264">
        <v>0</v>
      </c>
      <c r="O99" s="264">
        <v>0</v>
      </c>
      <c r="P99" s="264">
        <v>0</v>
      </c>
      <c r="Q99" s="264">
        <v>0</v>
      </c>
      <c r="R99" s="264">
        <v>0</v>
      </c>
      <c r="S99" s="264">
        <v>541240.59</v>
      </c>
      <c r="T99" s="264">
        <v>137962.07</v>
      </c>
      <c r="U99" s="264">
        <v>541240.59</v>
      </c>
      <c r="V99" s="264">
        <v>140970.47</v>
      </c>
      <c r="W99" s="264">
        <v>541240.59</v>
      </c>
      <c r="X99" s="264">
        <v>143978.87</v>
      </c>
      <c r="Y99" s="264">
        <v>541240.59</v>
      </c>
      <c r="Z99" s="264">
        <v>146987.26999999999</v>
      </c>
      <c r="AA99" s="264">
        <v>541240.59</v>
      </c>
      <c r="AB99" s="264">
        <v>149995.67000000001</v>
      </c>
      <c r="AC99" s="264">
        <v>541240.59</v>
      </c>
      <c r="AD99" s="264">
        <v>153004.07</v>
      </c>
      <c r="AE99" s="264">
        <f t="shared" si="7"/>
        <v>248068.60374999998</v>
      </c>
      <c r="AF99" s="264">
        <f t="shared" si="7"/>
        <v>66366.365416666682</v>
      </c>
    </row>
    <row r="100" spans="1:32">
      <c r="A100" s="24">
        <v>92</v>
      </c>
      <c r="C100" s="4" t="s">
        <v>1843</v>
      </c>
      <c r="D100" s="265" t="s">
        <v>1835</v>
      </c>
      <c r="E100" s="264">
        <v>0</v>
      </c>
      <c r="F100" s="264">
        <v>0</v>
      </c>
      <c r="G100" s="264">
        <v>0</v>
      </c>
      <c r="H100" s="264">
        <v>0</v>
      </c>
      <c r="I100" s="264">
        <v>0</v>
      </c>
      <c r="J100" s="264">
        <v>0</v>
      </c>
      <c r="K100" s="264">
        <v>0</v>
      </c>
      <c r="L100" s="264">
        <v>0</v>
      </c>
      <c r="M100" s="264">
        <v>0</v>
      </c>
      <c r="N100" s="264">
        <v>0</v>
      </c>
      <c r="O100" s="264">
        <v>0</v>
      </c>
      <c r="P100" s="264">
        <v>0</v>
      </c>
      <c r="Q100" s="264">
        <v>0</v>
      </c>
      <c r="R100" s="264">
        <v>0</v>
      </c>
      <c r="S100" s="264">
        <v>7720.22</v>
      </c>
      <c r="T100" s="264">
        <v>7720.22</v>
      </c>
      <c r="U100" s="264">
        <v>7720.22</v>
      </c>
      <c r="V100" s="264">
        <v>7720.22</v>
      </c>
      <c r="W100" s="264">
        <v>7720.22</v>
      </c>
      <c r="X100" s="264">
        <v>7720.22</v>
      </c>
      <c r="Y100" s="264">
        <v>7720.22</v>
      </c>
      <c r="Z100" s="264">
        <v>7720.22</v>
      </c>
      <c r="AA100" s="264">
        <v>7720.22</v>
      </c>
      <c r="AB100" s="264">
        <v>7720.22</v>
      </c>
      <c r="AC100" s="264">
        <v>7720.22</v>
      </c>
      <c r="AD100" s="264">
        <v>7720.22</v>
      </c>
      <c r="AE100" s="264">
        <f t="shared" si="7"/>
        <v>3538.4341666666664</v>
      </c>
      <c r="AF100" s="264">
        <f t="shared" si="7"/>
        <v>3538.4341666666664</v>
      </c>
    </row>
    <row r="101" spans="1:32">
      <c r="A101" s="24">
        <v>93</v>
      </c>
      <c r="C101" s="4" t="s">
        <v>1844</v>
      </c>
      <c r="D101" s="265" t="s">
        <v>1835</v>
      </c>
      <c r="E101" s="264">
        <v>0</v>
      </c>
      <c r="F101" s="264">
        <v>0</v>
      </c>
      <c r="G101" s="264">
        <v>0</v>
      </c>
      <c r="H101" s="264">
        <v>0</v>
      </c>
      <c r="I101" s="264">
        <v>0</v>
      </c>
      <c r="J101" s="264">
        <v>0</v>
      </c>
      <c r="K101" s="264">
        <v>0</v>
      </c>
      <c r="L101" s="264">
        <v>0</v>
      </c>
      <c r="M101" s="264">
        <v>0</v>
      </c>
      <c r="N101" s="264">
        <v>0</v>
      </c>
      <c r="O101" s="264">
        <v>0</v>
      </c>
      <c r="P101" s="264">
        <v>0</v>
      </c>
      <c r="Q101" s="264">
        <v>0</v>
      </c>
      <c r="R101" s="264">
        <v>0</v>
      </c>
      <c r="S101" s="264">
        <v>14271.5</v>
      </c>
      <c r="T101" s="264">
        <v>13082.23</v>
      </c>
      <c r="U101" s="264">
        <v>14271.5</v>
      </c>
      <c r="V101" s="264">
        <v>13320.09</v>
      </c>
      <c r="W101" s="264">
        <v>14271.5</v>
      </c>
      <c r="X101" s="264">
        <v>13557.95</v>
      </c>
      <c r="Y101" s="264">
        <v>14271.5</v>
      </c>
      <c r="Z101" s="264">
        <v>13795.81</v>
      </c>
      <c r="AA101" s="264">
        <v>14271.5</v>
      </c>
      <c r="AB101" s="264">
        <v>14033.67</v>
      </c>
      <c r="AC101" s="264">
        <v>14271.5</v>
      </c>
      <c r="AD101" s="264">
        <v>14271.5</v>
      </c>
      <c r="AE101" s="264">
        <f t="shared" si="7"/>
        <v>6541.104166666667</v>
      </c>
      <c r="AF101" s="264">
        <f t="shared" si="7"/>
        <v>6243.791666666667</v>
      </c>
    </row>
    <row r="102" spans="1:32">
      <c r="A102" s="24">
        <v>94</v>
      </c>
      <c r="C102" s="4" t="s">
        <v>1845</v>
      </c>
      <c r="D102" s="265" t="s">
        <v>1835</v>
      </c>
      <c r="E102" s="264">
        <v>0</v>
      </c>
      <c r="F102" s="264">
        <v>0</v>
      </c>
      <c r="G102" s="264">
        <v>0</v>
      </c>
      <c r="H102" s="264">
        <v>0</v>
      </c>
      <c r="I102" s="264">
        <v>0</v>
      </c>
      <c r="J102" s="264">
        <v>0</v>
      </c>
      <c r="K102" s="264">
        <v>0</v>
      </c>
      <c r="L102" s="264">
        <v>0</v>
      </c>
      <c r="M102" s="264">
        <v>0</v>
      </c>
      <c r="N102" s="264">
        <v>0</v>
      </c>
      <c r="O102" s="264">
        <v>0</v>
      </c>
      <c r="P102" s="264">
        <v>0</v>
      </c>
      <c r="Q102" s="264">
        <v>0</v>
      </c>
      <c r="R102" s="264">
        <v>0</v>
      </c>
      <c r="S102" s="264">
        <v>131168.49</v>
      </c>
      <c r="T102" s="264">
        <v>70938.94</v>
      </c>
      <c r="U102" s="264">
        <v>131168.49</v>
      </c>
      <c r="V102" s="264">
        <v>72500.94</v>
      </c>
      <c r="W102" s="264">
        <v>131168.49</v>
      </c>
      <c r="X102" s="264">
        <v>74062.94</v>
      </c>
      <c r="Y102" s="264">
        <v>131168.49</v>
      </c>
      <c r="Z102" s="264">
        <v>75624.94</v>
      </c>
      <c r="AA102" s="264">
        <v>131168.49</v>
      </c>
      <c r="AB102" s="264">
        <v>77186.94</v>
      </c>
      <c r="AC102" s="264">
        <v>131168.49</v>
      </c>
      <c r="AD102" s="264">
        <v>78748.94</v>
      </c>
      <c r="AE102" s="264">
        <f t="shared" si="7"/>
        <v>60118.891249999993</v>
      </c>
      <c r="AF102" s="264">
        <f t="shared" si="7"/>
        <v>34140.764166666668</v>
      </c>
    </row>
    <row r="103" spans="1:32">
      <c r="A103" s="24">
        <v>95</v>
      </c>
      <c r="C103" s="4" t="s">
        <v>1846</v>
      </c>
      <c r="D103" s="265" t="s">
        <v>1835</v>
      </c>
      <c r="E103" s="264">
        <v>0</v>
      </c>
      <c r="F103" s="264">
        <v>0</v>
      </c>
      <c r="G103" s="264">
        <v>0</v>
      </c>
      <c r="H103" s="264">
        <v>0</v>
      </c>
      <c r="I103" s="264">
        <v>0</v>
      </c>
      <c r="J103" s="264">
        <v>0</v>
      </c>
      <c r="K103" s="264">
        <v>0</v>
      </c>
      <c r="L103" s="264">
        <v>0</v>
      </c>
      <c r="M103" s="264">
        <v>0</v>
      </c>
      <c r="N103" s="264">
        <v>0</v>
      </c>
      <c r="O103" s="264">
        <v>0</v>
      </c>
      <c r="P103" s="264">
        <v>0</v>
      </c>
      <c r="Q103" s="264">
        <v>0</v>
      </c>
      <c r="R103" s="264">
        <v>0</v>
      </c>
      <c r="S103" s="264">
        <v>3004957.37</v>
      </c>
      <c r="T103" s="264">
        <v>1192409.98</v>
      </c>
      <c r="U103" s="264">
        <v>3004957.37</v>
      </c>
      <c r="V103" s="264">
        <v>1228194.01</v>
      </c>
      <c r="W103" s="264">
        <v>3004957.37</v>
      </c>
      <c r="X103" s="264">
        <v>1263978.04</v>
      </c>
      <c r="Y103" s="264">
        <v>3004957.37</v>
      </c>
      <c r="Z103" s="264">
        <v>1299762.07</v>
      </c>
      <c r="AA103" s="264">
        <v>3004957.37</v>
      </c>
      <c r="AB103" s="264">
        <v>1335546.1000000001</v>
      </c>
      <c r="AC103" s="264">
        <v>3004957.37</v>
      </c>
      <c r="AD103" s="264">
        <v>1371330.13</v>
      </c>
      <c r="AE103" s="264">
        <f t="shared" si="7"/>
        <v>1377272.1279166669</v>
      </c>
      <c r="AF103" s="264">
        <f t="shared" si="7"/>
        <v>583796.27208333334</v>
      </c>
    </row>
    <row r="104" spans="1:32">
      <c r="A104" s="24">
        <v>96</v>
      </c>
      <c r="C104" s="4" t="s">
        <v>1847</v>
      </c>
      <c r="D104" s="265" t="s">
        <v>1835</v>
      </c>
      <c r="E104" s="264">
        <v>0</v>
      </c>
      <c r="F104" s="264">
        <v>0</v>
      </c>
      <c r="G104" s="264">
        <v>0</v>
      </c>
      <c r="H104" s="264">
        <v>0</v>
      </c>
      <c r="I104" s="264">
        <v>0</v>
      </c>
      <c r="J104" s="264">
        <v>0</v>
      </c>
      <c r="K104" s="264">
        <v>0</v>
      </c>
      <c r="L104" s="264">
        <v>0</v>
      </c>
      <c r="M104" s="264">
        <v>0</v>
      </c>
      <c r="N104" s="264">
        <v>0</v>
      </c>
      <c r="O104" s="264">
        <v>0</v>
      </c>
      <c r="P104" s="264">
        <v>0</v>
      </c>
      <c r="Q104" s="264">
        <v>0</v>
      </c>
      <c r="R104" s="264">
        <v>0</v>
      </c>
      <c r="S104" s="264">
        <v>585144.89</v>
      </c>
      <c r="T104" s="264">
        <v>151336.06</v>
      </c>
      <c r="U104" s="264">
        <v>585144.89</v>
      </c>
      <c r="V104" s="264">
        <v>158304.16</v>
      </c>
      <c r="W104" s="264">
        <v>585144.89</v>
      </c>
      <c r="X104" s="264">
        <v>165272.26</v>
      </c>
      <c r="Y104" s="264">
        <v>585144.89</v>
      </c>
      <c r="Z104" s="264">
        <v>172240.36000000002</v>
      </c>
      <c r="AA104" s="264">
        <v>585144.89</v>
      </c>
      <c r="AB104" s="264">
        <v>179208.46</v>
      </c>
      <c r="AC104" s="264">
        <v>585144.89</v>
      </c>
      <c r="AD104" s="264">
        <v>186176.56</v>
      </c>
      <c r="AE104" s="264">
        <f t="shared" si="7"/>
        <v>268191.40791666665</v>
      </c>
      <c r="AF104" s="264">
        <f t="shared" si="7"/>
        <v>76620.798333333325</v>
      </c>
    </row>
    <row r="105" spans="1:32">
      <c r="A105" s="24">
        <v>97</v>
      </c>
      <c r="C105" s="4" t="s">
        <v>1848</v>
      </c>
      <c r="D105" s="265" t="s">
        <v>1835</v>
      </c>
      <c r="E105" s="264">
        <v>0</v>
      </c>
      <c r="F105" s="264">
        <v>0</v>
      </c>
      <c r="G105" s="264">
        <v>0</v>
      </c>
      <c r="H105" s="264">
        <v>0</v>
      </c>
      <c r="I105" s="264">
        <v>0</v>
      </c>
      <c r="J105" s="264">
        <v>0</v>
      </c>
      <c r="K105" s="264">
        <v>0</v>
      </c>
      <c r="L105" s="264">
        <v>0</v>
      </c>
      <c r="M105" s="264">
        <v>0</v>
      </c>
      <c r="N105" s="264">
        <v>0</v>
      </c>
      <c r="O105" s="264">
        <v>0</v>
      </c>
      <c r="P105" s="264">
        <v>0</v>
      </c>
      <c r="Q105" s="264">
        <v>0</v>
      </c>
      <c r="R105" s="264">
        <v>0</v>
      </c>
      <c r="S105" s="264">
        <v>20560.650000000001</v>
      </c>
      <c r="T105" s="264">
        <v>4873.57</v>
      </c>
      <c r="U105" s="264">
        <v>20560.650000000001</v>
      </c>
      <c r="V105" s="264">
        <v>5118.41</v>
      </c>
      <c r="W105" s="264">
        <v>20560.650000000001</v>
      </c>
      <c r="X105" s="264">
        <v>5363.25</v>
      </c>
      <c r="Y105" s="264">
        <v>20560.650000000001</v>
      </c>
      <c r="Z105" s="264">
        <v>5608.09</v>
      </c>
      <c r="AA105" s="264">
        <v>20560.650000000001</v>
      </c>
      <c r="AB105" s="264">
        <v>5852.93</v>
      </c>
      <c r="AC105" s="264">
        <v>20560.650000000001</v>
      </c>
      <c r="AD105" s="264">
        <v>6097.77</v>
      </c>
      <c r="AE105" s="264">
        <f t="shared" si="7"/>
        <v>9423.6312500000004</v>
      </c>
      <c r="AF105" s="264">
        <f t="shared" si="7"/>
        <v>2488.76125</v>
      </c>
    </row>
    <row r="106" spans="1:32">
      <c r="A106" s="24">
        <v>98</v>
      </c>
      <c r="C106" s="4" t="s">
        <v>1849</v>
      </c>
      <c r="D106" s="4" t="str">
        <f t="shared" ref="D106:D129" si="8">RIGHT(C106,5)</f>
        <v>00100</v>
      </c>
      <c r="E106" s="264">
        <v>31960507.600000001</v>
      </c>
      <c r="F106" s="264">
        <v>8053426.4299999997</v>
      </c>
      <c r="G106" s="264">
        <v>32108431.690000001</v>
      </c>
      <c r="H106" s="264">
        <v>8284691.1200000001</v>
      </c>
      <c r="I106" s="264">
        <v>32116587.800000001</v>
      </c>
      <c r="J106" s="264">
        <v>8518849.4199999999</v>
      </c>
      <c r="K106" s="264">
        <v>32173607.18</v>
      </c>
      <c r="L106" s="264">
        <v>8751831.6600000001</v>
      </c>
      <c r="M106" s="264">
        <v>32184081.329999998</v>
      </c>
      <c r="N106" s="264">
        <v>8985449.9299999997</v>
      </c>
      <c r="O106" s="264">
        <v>32187271.329999998</v>
      </c>
      <c r="P106" s="264">
        <v>9219219.6500000004</v>
      </c>
      <c r="Q106" s="264">
        <v>32192427.940000001</v>
      </c>
      <c r="R106" s="264">
        <v>9453029.7300000004</v>
      </c>
      <c r="S106" s="264">
        <v>0</v>
      </c>
      <c r="T106" s="264">
        <v>0</v>
      </c>
      <c r="U106" s="264">
        <v>0</v>
      </c>
      <c r="V106" s="264">
        <v>0</v>
      </c>
      <c r="W106" s="264">
        <v>4302.82</v>
      </c>
      <c r="X106" s="264">
        <v>0</v>
      </c>
      <c r="Y106" s="264">
        <v>5733.95</v>
      </c>
      <c r="Z106" s="264">
        <v>563.02</v>
      </c>
      <c r="AA106" s="264">
        <v>0</v>
      </c>
      <c r="AB106" s="264">
        <v>0</v>
      </c>
      <c r="AC106" s="264">
        <v>0</v>
      </c>
      <c r="AD106" s="264">
        <v>0</v>
      </c>
      <c r="AE106" s="264">
        <f t="shared" si="7"/>
        <v>17412724.819999997</v>
      </c>
      <c r="AF106" s="264">
        <f t="shared" si="7"/>
        <v>4770028.9787499988</v>
      </c>
    </row>
    <row r="107" spans="1:32">
      <c r="A107" s="24">
        <v>99</v>
      </c>
      <c r="C107" s="4" t="s">
        <v>1850</v>
      </c>
      <c r="D107" s="4" t="str">
        <f t="shared" si="8"/>
        <v>00100</v>
      </c>
      <c r="E107" s="264">
        <v>94899.76</v>
      </c>
      <c r="F107" s="264">
        <v>0</v>
      </c>
      <c r="G107" s="264">
        <v>94899.76</v>
      </c>
      <c r="H107" s="264">
        <v>0</v>
      </c>
      <c r="I107" s="264">
        <v>94899.76</v>
      </c>
      <c r="J107" s="264">
        <v>0</v>
      </c>
      <c r="K107" s="264">
        <v>94899.76</v>
      </c>
      <c r="L107" s="264">
        <v>0</v>
      </c>
      <c r="M107" s="264">
        <v>94899.76</v>
      </c>
      <c r="N107" s="264">
        <v>0</v>
      </c>
      <c r="O107" s="264">
        <v>94899.76</v>
      </c>
      <c r="P107" s="264">
        <v>0</v>
      </c>
      <c r="Q107" s="264">
        <v>94899.76</v>
      </c>
      <c r="R107" s="264">
        <v>0</v>
      </c>
      <c r="S107" s="264">
        <v>94899.76</v>
      </c>
      <c r="T107" s="264">
        <v>0</v>
      </c>
      <c r="U107" s="264">
        <v>94899.76</v>
      </c>
      <c r="V107" s="264">
        <v>0</v>
      </c>
      <c r="W107" s="264">
        <v>94899.76</v>
      </c>
      <c r="X107" s="264">
        <v>0</v>
      </c>
      <c r="Y107" s="264">
        <v>94899.76</v>
      </c>
      <c r="Z107" s="264">
        <v>0</v>
      </c>
      <c r="AA107" s="264">
        <v>94899.76</v>
      </c>
      <c r="AB107" s="264">
        <v>0</v>
      </c>
      <c r="AC107" s="264">
        <v>94899.76</v>
      </c>
      <c r="AD107" s="264">
        <v>0</v>
      </c>
      <c r="AE107" s="264">
        <f t="shared" si="7"/>
        <v>94899.76</v>
      </c>
      <c r="AF107" s="264">
        <f t="shared" si="7"/>
        <v>0</v>
      </c>
    </row>
    <row r="108" spans="1:32">
      <c r="A108" s="24">
        <v>100</v>
      </c>
      <c r="C108" s="4" t="s">
        <v>1851</v>
      </c>
      <c r="D108" s="4" t="str">
        <f t="shared" si="8"/>
        <v>00100</v>
      </c>
      <c r="E108" s="264">
        <v>399189.10000000003</v>
      </c>
      <c r="F108" s="264">
        <v>419149.75</v>
      </c>
      <c r="G108" s="264">
        <v>399189.10000000003</v>
      </c>
      <c r="H108" s="264">
        <v>419149.75</v>
      </c>
      <c r="I108" s="264">
        <v>399189.10000000003</v>
      </c>
      <c r="J108" s="264">
        <v>419149.75</v>
      </c>
      <c r="K108" s="264">
        <v>399189.10000000003</v>
      </c>
      <c r="L108" s="264">
        <v>419149.75</v>
      </c>
      <c r="M108" s="264">
        <v>399189.10000000003</v>
      </c>
      <c r="N108" s="264">
        <v>419149.75</v>
      </c>
      <c r="O108" s="264">
        <v>399189.10000000003</v>
      </c>
      <c r="P108" s="264">
        <v>419149.75</v>
      </c>
      <c r="Q108" s="264">
        <v>399189.10000000003</v>
      </c>
      <c r="R108" s="264">
        <v>419149.75</v>
      </c>
      <c r="S108" s="264">
        <v>399189.10000000003</v>
      </c>
      <c r="T108" s="264">
        <v>419149.75</v>
      </c>
      <c r="U108" s="264">
        <v>399189.10000000003</v>
      </c>
      <c r="V108" s="264">
        <v>419149.75</v>
      </c>
      <c r="W108" s="264">
        <v>399189.10000000003</v>
      </c>
      <c r="X108" s="264">
        <v>419228.09</v>
      </c>
      <c r="Y108" s="264">
        <v>399189.10000000003</v>
      </c>
      <c r="Z108" s="264">
        <v>419228.09</v>
      </c>
      <c r="AA108" s="264">
        <v>399189.10000000003</v>
      </c>
      <c r="AB108" s="264">
        <v>419228.09</v>
      </c>
      <c r="AC108" s="264">
        <v>399189.10000000003</v>
      </c>
      <c r="AD108" s="264">
        <v>419228.09</v>
      </c>
      <c r="AE108" s="264">
        <f t="shared" si="7"/>
        <v>399189.10000000003</v>
      </c>
      <c r="AF108" s="264">
        <f t="shared" si="7"/>
        <v>419172.59916666662</v>
      </c>
    </row>
    <row r="109" spans="1:32">
      <c r="A109" s="24">
        <v>101</v>
      </c>
      <c r="C109" s="4" t="s">
        <v>1852</v>
      </c>
      <c r="D109" s="4" t="str">
        <f t="shared" si="8"/>
        <v>00100</v>
      </c>
      <c r="E109" s="264">
        <v>954713.11</v>
      </c>
      <c r="F109" s="264">
        <v>696776.97</v>
      </c>
      <c r="G109" s="264">
        <v>954713.11</v>
      </c>
      <c r="H109" s="264">
        <v>696776.97</v>
      </c>
      <c r="I109" s="264">
        <v>954713.11</v>
      </c>
      <c r="J109" s="264">
        <v>696776.97</v>
      </c>
      <c r="K109" s="264">
        <v>954713.11</v>
      </c>
      <c r="L109" s="264">
        <v>696776.97</v>
      </c>
      <c r="M109" s="264">
        <v>954713.11</v>
      </c>
      <c r="N109" s="264">
        <v>696776.97</v>
      </c>
      <c r="O109" s="264">
        <v>954713.11</v>
      </c>
      <c r="P109" s="264">
        <v>696776.97</v>
      </c>
      <c r="Q109" s="264">
        <v>954713.11</v>
      </c>
      <c r="R109" s="264">
        <v>696776.97</v>
      </c>
      <c r="S109" s="264">
        <v>954713.11</v>
      </c>
      <c r="T109" s="264">
        <v>696776.97</v>
      </c>
      <c r="U109" s="264">
        <v>954713.11</v>
      </c>
      <c r="V109" s="264">
        <v>696776.97</v>
      </c>
      <c r="W109" s="264">
        <v>954713.11</v>
      </c>
      <c r="X109" s="264">
        <v>696776.97</v>
      </c>
      <c r="Y109" s="264">
        <v>954713.11</v>
      </c>
      <c r="Z109" s="264">
        <v>696776.97</v>
      </c>
      <c r="AA109" s="264">
        <v>954713.11</v>
      </c>
      <c r="AB109" s="264">
        <v>696776.97</v>
      </c>
      <c r="AC109" s="264">
        <v>954713.11</v>
      </c>
      <c r="AD109" s="264">
        <v>696776.97</v>
      </c>
      <c r="AE109" s="264">
        <f t="shared" si="7"/>
        <v>954713.10999999987</v>
      </c>
      <c r="AF109" s="264">
        <f t="shared" si="7"/>
        <v>696776.96999999986</v>
      </c>
    </row>
    <row r="110" spans="1:32">
      <c r="A110" s="24">
        <v>102</v>
      </c>
      <c r="C110" s="4" t="s">
        <v>1853</v>
      </c>
      <c r="D110" s="4" t="str">
        <f t="shared" si="8"/>
        <v>00100</v>
      </c>
      <c r="E110" s="264">
        <v>5807881.5899999999</v>
      </c>
      <c r="F110" s="264">
        <v>5322633.72</v>
      </c>
      <c r="G110" s="264">
        <v>5807881.5899999999</v>
      </c>
      <c r="H110" s="264">
        <v>5328635.2</v>
      </c>
      <c r="I110" s="264">
        <v>5819580.5999999996</v>
      </c>
      <c r="J110" s="264">
        <v>5334636.68</v>
      </c>
      <c r="K110" s="264">
        <v>5819580.5999999996</v>
      </c>
      <c r="L110" s="264">
        <v>5340650.25</v>
      </c>
      <c r="M110" s="264">
        <v>5819580.5999999996</v>
      </c>
      <c r="N110" s="264">
        <v>5346663.82</v>
      </c>
      <c r="O110" s="264">
        <v>5819148.3499999996</v>
      </c>
      <c r="P110" s="264">
        <v>5352677.3899999997</v>
      </c>
      <c r="Q110" s="264">
        <v>5819148.3499999996</v>
      </c>
      <c r="R110" s="264">
        <v>5358690.51</v>
      </c>
      <c r="S110" s="264">
        <v>5819148.3499999996</v>
      </c>
      <c r="T110" s="264">
        <v>5364703.63</v>
      </c>
      <c r="U110" s="264">
        <v>5862351.0199999996</v>
      </c>
      <c r="V110" s="264">
        <v>5370716.75</v>
      </c>
      <c r="W110" s="264">
        <v>5862351.0199999996</v>
      </c>
      <c r="X110" s="264">
        <v>5376774.5099999998</v>
      </c>
      <c r="Y110" s="264">
        <v>5862351.0199999996</v>
      </c>
      <c r="Z110" s="264">
        <v>5382832.2699999996</v>
      </c>
      <c r="AA110" s="264">
        <v>5862351.0199999996</v>
      </c>
      <c r="AB110" s="264">
        <v>5388890.0300000003</v>
      </c>
      <c r="AC110" s="264">
        <v>5862351.0199999996</v>
      </c>
      <c r="AD110" s="264">
        <v>5394947.79</v>
      </c>
      <c r="AE110" s="264">
        <f t="shared" si="7"/>
        <v>5834049.0687499987</v>
      </c>
      <c r="AF110" s="264">
        <f t="shared" si="7"/>
        <v>5358721.8162500011</v>
      </c>
    </row>
    <row r="111" spans="1:32">
      <c r="A111" s="24">
        <v>103</v>
      </c>
      <c r="C111" s="4" t="s">
        <v>1854</v>
      </c>
      <c r="D111" s="4" t="str">
        <f t="shared" si="8"/>
        <v>00100</v>
      </c>
      <c r="E111" s="264">
        <v>2184217.88</v>
      </c>
      <c r="F111" s="264">
        <v>-128808.1</v>
      </c>
      <c r="G111" s="264">
        <v>2306513.11</v>
      </c>
      <c r="H111" s="264">
        <v>-99248.35</v>
      </c>
      <c r="I111" s="264">
        <v>2308364.84</v>
      </c>
      <c r="J111" s="264">
        <v>-68033.540000000008</v>
      </c>
      <c r="K111" s="264">
        <v>2308364.84</v>
      </c>
      <c r="L111" s="264">
        <v>-36793.67</v>
      </c>
      <c r="M111" s="264">
        <v>2359058.62</v>
      </c>
      <c r="N111" s="264">
        <v>-5553.8</v>
      </c>
      <c r="O111" s="264">
        <v>2359058.62</v>
      </c>
      <c r="P111" s="264">
        <v>26372.13</v>
      </c>
      <c r="Q111" s="264">
        <v>2350808.7800000003</v>
      </c>
      <c r="R111" s="264">
        <v>58298.06</v>
      </c>
      <c r="S111" s="264">
        <v>2356168.14</v>
      </c>
      <c r="T111" s="264">
        <v>90355.94</v>
      </c>
      <c r="U111" s="264">
        <v>2356168.14</v>
      </c>
      <c r="V111" s="264">
        <v>122242.75</v>
      </c>
      <c r="W111" s="264">
        <v>2356168.14</v>
      </c>
      <c r="X111" s="264">
        <v>154129.56</v>
      </c>
      <c r="Y111" s="264">
        <v>2356168.14</v>
      </c>
      <c r="Z111" s="264">
        <v>186016.37</v>
      </c>
      <c r="AA111" s="264">
        <v>2356168.14</v>
      </c>
      <c r="AB111" s="264">
        <v>217903.18</v>
      </c>
      <c r="AC111" s="264">
        <v>2400564.7000000002</v>
      </c>
      <c r="AD111" s="264">
        <v>249789.99</v>
      </c>
      <c r="AE111" s="264">
        <f t="shared" si="7"/>
        <v>2338783.4000000004</v>
      </c>
      <c r="AF111" s="264">
        <f t="shared" si="7"/>
        <v>58848.297916666663</v>
      </c>
    </row>
    <row r="112" spans="1:32">
      <c r="A112" s="24">
        <v>104</v>
      </c>
      <c r="C112" s="4" t="s">
        <v>1855</v>
      </c>
      <c r="D112" s="4" t="str">
        <f t="shared" si="8"/>
        <v>00100</v>
      </c>
      <c r="E112" s="264">
        <v>0</v>
      </c>
      <c r="F112" s="264">
        <v>-5509.99</v>
      </c>
      <c r="G112" s="264">
        <v>0</v>
      </c>
      <c r="H112" s="264">
        <v>-5509.99</v>
      </c>
      <c r="I112" s="264">
        <v>0</v>
      </c>
      <c r="J112" s="264">
        <v>-5509.99</v>
      </c>
      <c r="K112" s="264">
        <v>0</v>
      </c>
      <c r="L112" s="264">
        <v>-5509.99</v>
      </c>
      <c r="M112" s="264">
        <v>0</v>
      </c>
      <c r="N112" s="264">
        <v>-5509.99</v>
      </c>
      <c r="O112" s="264">
        <v>0</v>
      </c>
      <c r="P112" s="264">
        <v>-5509.99</v>
      </c>
      <c r="Q112" s="264">
        <v>0</v>
      </c>
      <c r="R112" s="264">
        <v>-5509.99</v>
      </c>
      <c r="S112" s="264">
        <v>0</v>
      </c>
      <c r="T112" s="264">
        <v>-5509.99</v>
      </c>
      <c r="U112" s="264">
        <v>0</v>
      </c>
      <c r="V112" s="264">
        <v>0</v>
      </c>
      <c r="W112" s="264">
        <v>0</v>
      </c>
      <c r="X112" s="264">
        <v>0</v>
      </c>
      <c r="Y112" s="264">
        <v>0</v>
      </c>
      <c r="Z112" s="264">
        <v>0</v>
      </c>
      <c r="AA112" s="264">
        <v>0</v>
      </c>
      <c r="AB112" s="264">
        <v>0</v>
      </c>
      <c r="AC112" s="264">
        <v>0</v>
      </c>
      <c r="AD112" s="264">
        <v>0</v>
      </c>
      <c r="AE112" s="264">
        <f t="shared" si="7"/>
        <v>0</v>
      </c>
      <c r="AF112" s="264">
        <f t="shared" si="7"/>
        <v>-3443.7437499999996</v>
      </c>
    </row>
    <row r="113" spans="1:32">
      <c r="A113" s="24">
        <v>105</v>
      </c>
      <c r="C113" s="4" t="s">
        <v>1856</v>
      </c>
      <c r="D113" s="4" t="str">
        <f t="shared" si="8"/>
        <v>00100</v>
      </c>
      <c r="E113" s="264">
        <v>156470.54</v>
      </c>
      <c r="F113" s="264">
        <v>-275066.16000000003</v>
      </c>
      <c r="G113" s="264">
        <v>156470.54</v>
      </c>
      <c r="H113" s="264">
        <v>-272801.25</v>
      </c>
      <c r="I113" s="264">
        <v>156470.54</v>
      </c>
      <c r="J113" s="264">
        <v>-270536.34000000003</v>
      </c>
      <c r="K113" s="264">
        <v>156470.54</v>
      </c>
      <c r="L113" s="264">
        <v>-268271.43</v>
      </c>
      <c r="M113" s="264">
        <v>156470.54</v>
      </c>
      <c r="N113" s="264">
        <v>-266006.52</v>
      </c>
      <c r="O113" s="264">
        <v>156470.54</v>
      </c>
      <c r="P113" s="264">
        <v>-263741.61</v>
      </c>
      <c r="Q113" s="264">
        <v>156470.54</v>
      </c>
      <c r="R113" s="264">
        <v>-261476.7</v>
      </c>
      <c r="S113" s="264">
        <v>156470.54</v>
      </c>
      <c r="T113" s="264">
        <v>-259211.79</v>
      </c>
      <c r="U113" s="264">
        <v>156470.54</v>
      </c>
      <c r="V113" s="264">
        <v>-256946.88</v>
      </c>
      <c r="W113" s="264">
        <v>156470.54</v>
      </c>
      <c r="X113" s="264">
        <v>-254681.97</v>
      </c>
      <c r="Y113" s="264">
        <v>156470.54</v>
      </c>
      <c r="Z113" s="264">
        <v>-252417.06</v>
      </c>
      <c r="AA113" s="264">
        <v>156470.54</v>
      </c>
      <c r="AB113" s="264">
        <v>-250152.15</v>
      </c>
      <c r="AC113" s="264">
        <v>156470.54</v>
      </c>
      <c r="AD113" s="264">
        <v>-247887.24</v>
      </c>
      <c r="AE113" s="264">
        <f t="shared" si="7"/>
        <v>156470.54</v>
      </c>
      <c r="AF113" s="264">
        <f t="shared" si="7"/>
        <v>-261476.70000000004</v>
      </c>
    </row>
    <row r="114" spans="1:32">
      <c r="A114" s="24">
        <v>106</v>
      </c>
      <c r="C114" s="4" t="s">
        <v>1857</v>
      </c>
      <c r="D114" s="4" t="str">
        <f t="shared" si="8"/>
        <v>00100</v>
      </c>
      <c r="E114" s="264">
        <v>1276603.8500000001</v>
      </c>
      <c r="F114" s="264">
        <v>-130311.46</v>
      </c>
      <c r="G114" s="264">
        <v>1276603.8500000001</v>
      </c>
      <c r="H114" s="264">
        <v>-125013.55</v>
      </c>
      <c r="I114" s="264">
        <v>1276603.8500000001</v>
      </c>
      <c r="J114" s="264">
        <v>-119715.64</v>
      </c>
      <c r="K114" s="264">
        <v>1276603.8500000001</v>
      </c>
      <c r="L114" s="264">
        <v>-114417.73</v>
      </c>
      <c r="M114" s="264">
        <v>1276603.8500000001</v>
      </c>
      <c r="N114" s="264">
        <v>-109119.82</v>
      </c>
      <c r="O114" s="264">
        <v>1276603.8500000001</v>
      </c>
      <c r="P114" s="264">
        <v>-103821.91</v>
      </c>
      <c r="Q114" s="264">
        <v>1276603.8500000001</v>
      </c>
      <c r="R114" s="264">
        <v>-98524</v>
      </c>
      <c r="S114" s="264">
        <v>1276603.8500000001</v>
      </c>
      <c r="T114" s="264">
        <v>-93226.09</v>
      </c>
      <c r="U114" s="264">
        <v>1276603.8500000001</v>
      </c>
      <c r="V114" s="264">
        <v>-87928.180000000008</v>
      </c>
      <c r="W114" s="264">
        <v>1276603.8500000001</v>
      </c>
      <c r="X114" s="264">
        <v>-82630.27</v>
      </c>
      <c r="Y114" s="264">
        <v>1276603.8500000001</v>
      </c>
      <c r="Z114" s="264">
        <v>-77332.36</v>
      </c>
      <c r="AA114" s="264">
        <v>1276603.8500000001</v>
      </c>
      <c r="AB114" s="264">
        <v>-72034.45</v>
      </c>
      <c r="AC114" s="264">
        <v>1276603.8500000001</v>
      </c>
      <c r="AD114" s="264">
        <v>-66736.540000000008</v>
      </c>
      <c r="AE114" s="264">
        <f t="shared" si="7"/>
        <v>1276603.8499999999</v>
      </c>
      <c r="AF114" s="264">
        <f t="shared" si="7"/>
        <v>-98524</v>
      </c>
    </row>
    <row r="115" spans="1:32">
      <c r="A115" s="24">
        <v>107</v>
      </c>
      <c r="C115" s="4" t="s">
        <v>1858</v>
      </c>
      <c r="D115" s="4" t="str">
        <f t="shared" si="8"/>
        <v>00100</v>
      </c>
      <c r="E115" s="264">
        <v>2994409.61</v>
      </c>
      <c r="F115" s="264">
        <v>2994409.62</v>
      </c>
      <c r="G115" s="264">
        <v>2994409.61</v>
      </c>
      <c r="H115" s="264">
        <v>2994409.62</v>
      </c>
      <c r="I115" s="264">
        <v>2994409.61</v>
      </c>
      <c r="J115" s="264">
        <v>2994409.62</v>
      </c>
      <c r="K115" s="264">
        <v>2994409.61</v>
      </c>
      <c r="L115" s="264">
        <v>2994409.62</v>
      </c>
      <c r="M115" s="264">
        <v>2994409.61</v>
      </c>
      <c r="N115" s="264">
        <v>2994409.62</v>
      </c>
      <c r="O115" s="264">
        <v>2994409.61</v>
      </c>
      <c r="P115" s="264">
        <v>2994409.62</v>
      </c>
      <c r="Q115" s="264">
        <v>2994409.61</v>
      </c>
      <c r="R115" s="264">
        <v>2994409.62</v>
      </c>
      <c r="S115" s="264">
        <v>2994409.61</v>
      </c>
      <c r="T115" s="264">
        <v>2994409.62</v>
      </c>
      <c r="U115" s="264">
        <v>2994409.61</v>
      </c>
      <c r="V115" s="264">
        <v>2994409.62</v>
      </c>
      <c r="W115" s="264">
        <v>2994409.61</v>
      </c>
      <c r="X115" s="264">
        <v>2994409.62</v>
      </c>
      <c r="Y115" s="264">
        <v>2994409.61</v>
      </c>
      <c r="Z115" s="264">
        <v>2994409.62</v>
      </c>
      <c r="AA115" s="264">
        <v>2994409.61</v>
      </c>
      <c r="AB115" s="264">
        <v>2994409.62</v>
      </c>
      <c r="AC115" s="264">
        <v>2994409.61</v>
      </c>
      <c r="AD115" s="264">
        <v>2994409.62</v>
      </c>
      <c r="AE115" s="264">
        <f t="shared" si="7"/>
        <v>2994409.61</v>
      </c>
      <c r="AF115" s="264">
        <f t="shared" si="7"/>
        <v>2994409.6200000006</v>
      </c>
    </row>
    <row r="116" spans="1:32">
      <c r="A116" s="24">
        <v>108</v>
      </c>
      <c r="C116" s="4" t="s">
        <v>1859</v>
      </c>
      <c r="D116" s="4" t="str">
        <f t="shared" si="8"/>
        <v>00100</v>
      </c>
      <c r="E116" s="264">
        <v>48394.18</v>
      </c>
      <c r="F116" s="264">
        <v>34697.26</v>
      </c>
      <c r="G116" s="264">
        <v>48394.18</v>
      </c>
      <c r="H116" s="264">
        <v>34824.300000000003</v>
      </c>
      <c r="I116" s="264">
        <v>48394.18</v>
      </c>
      <c r="J116" s="264">
        <v>34951.340000000004</v>
      </c>
      <c r="K116" s="264">
        <v>48394.18</v>
      </c>
      <c r="L116" s="264">
        <v>35078.379999999997</v>
      </c>
      <c r="M116" s="264">
        <v>48394.18</v>
      </c>
      <c r="N116" s="264">
        <v>35205.42</v>
      </c>
      <c r="O116" s="264">
        <v>48394.18</v>
      </c>
      <c r="P116" s="264">
        <v>35332.46</v>
      </c>
      <c r="Q116" s="264">
        <v>48394.18</v>
      </c>
      <c r="R116" s="264">
        <v>35459.5</v>
      </c>
      <c r="S116" s="264">
        <v>48394.18</v>
      </c>
      <c r="T116" s="264">
        <v>35586.54</v>
      </c>
      <c r="U116" s="264">
        <v>48394.18</v>
      </c>
      <c r="V116" s="264">
        <v>35713.58</v>
      </c>
      <c r="W116" s="264">
        <v>48394.18</v>
      </c>
      <c r="X116" s="264">
        <v>35840.620000000003</v>
      </c>
      <c r="Y116" s="264">
        <v>48394.18</v>
      </c>
      <c r="Z116" s="264">
        <v>35967.660000000003</v>
      </c>
      <c r="AA116" s="264">
        <v>48394.18</v>
      </c>
      <c r="AB116" s="264">
        <v>36094.700000000004</v>
      </c>
      <c r="AC116" s="264">
        <v>48394.18</v>
      </c>
      <c r="AD116" s="264">
        <v>36221.74</v>
      </c>
      <c r="AE116" s="264">
        <f t="shared" si="7"/>
        <v>48394.18</v>
      </c>
      <c r="AF116" s="264">
        <f t="shared" si="7"/>
        <v>35459.500000000007</v>
      </c>
    </row>
    <row r="117" spans="1:32">
      <c r="A117" s="24">
        <v>109</v>
      </c>
      <c r="C117" s="4" t="s">
        <v>1860</v>
      </c>
      <c r="D117" s="4" t="str">
        <f t="shared" si="8"/>
        <v>00100</v>
      </c>
      <c r="E117" s="264">
        <v>1862879.1099999999</v>
      </c>
      <c r="F117" s="264">
        <v>610375.21</v>
      </c>
      <c r="G117" s="264">
        <v>1862879.1099999999</v>
      </c>
      <c r="H117" s="264">
        <v>619922.46</v>
      </c>
      <c r="I117" s="264">
        <v>1862879.1099999999</v>
      </c>
      <c r="J117" s="264">
        <v>629469.71</v>
      </c>
      <c r="K117" s="264">
        <v>1823644.54</v>
      </c>
      <c r="L117" s="264">
        <v>610782.39</v>
      </c>
      <c r="M117" s="264">
        <v>1690581.07</v>
      </c>
      <c r="N117" s="264">
        <v>560189.69000000006</v>
      </c>
      <c r="O117" s="264">
        <v>1727369.21</v>
      </c>
      <c r="P117" s="264">
        <v>568853.92000000004</v>
      </c>
      <c r="Q117" s="264">
        <v>1705419.3900000001</v>
      </c>
      <c r="R117" s="264">
        <v>557907.29</v>
      </c>
      <c r="S117" s="264">
        <v>1705435.58</v>
      </c>
      <c r="T117" s="264">
        <v>566647.56000000006</v>
      </c>
      <c r="U117" s="264">
        <v>1892475.26</v>
      </c>
      <c r="V117" s="264">
        <v>575387.91</v>
      </c>
      <c r="W117" s="264">
        <v>1893123.4500000002</v>
      </c>
      <c r="X117" s="264">
        <v>595086.85</v>
      </c>
      <c r="Y117" s="264">
        <v>1885880.23</v>
      </c>
      <c r="Z117" s="264">
        <v>604789.11</v>
      </c>
      <c r="AA117" s="264">
        <v>1889123.29</v>
      </c>
      <c r="AB117" s="264">
        <v>614454.24</v>
      </c>
      <c r="AC117" s="264">
        <v>1889123.29</v>
      </c>
      <c r="AD117" s="264">
        <v>624136</v>
      </c>
      <c r="AE117" s="264">
        <f t="shared" si="7"/>
        <v>1817900.9533333331</v>
      </c>
      <c r="AF117" s="264">
        <f t="shared" si="7"/>
        <v>593395.56124999991</v>
      </c>
    </row>
    <row r="118" spans="1:32">
      <c r="A118" s="24">
        <v>110</v>
      </c>
      <c r="C118" s="4" t="s">
        <v>1861</v>
      </c>
      <c r="D118" s="4" t="str">
        <f t="shared" si="8"/>
        <v>00100</v>
      </c>
      <c r="E118" s="264">
        <v>43088.19</v>
      </c>
      <c r="F118" s="264">
        <v>11433.29</v>
      </c>
      <c r="G118" s="264">
        <v>43088.19</v>
      </c>
      <c r="H118" s="264">
        <v>11625.03</v>
      </c>
      <c r="I118" s="264">
        <v>43088.19</v>
      </c>
      <c r="J118" s="264">
        <v>11816.77</v>
      </c>
      <c r="K118" s="264">
        <v>43088.19</v>
      </c>
      <c r="L118" s="264">
        <v>12008.51</v>
      </c>
      <c r="M118" s="264">
        <v>43088.19</v>
      </c>
      <c r="N118" s="264">
        <v>12200.25</v>
      </c>
      <c r="O118" s="264">
        <v>43088.19</v>
      </c>
      <c r="P118" s="264">
        <v>12391.99</v>
      </c>
      <c r="Q118" s="264">
        <v>43088.19</v>
      </c>
      <c r="R118" s="264">
        <v>12583.73</v>
      </c>
      <c r="S118" s="264">
        <v>43088.19</v>
      </c>
      <c r="T118" s="264">
        <v>12775.470000000001</v>
      </c>
      <c r="U118" s="264">
        <v>43088.19</v>
      </c>
      <c r="V118" s="264">
        <v>12967.210000000001</v>
      </c>
      <c r="W118" s="264">
        <v>43088.19</v>
      </c>
      <c r="X118" s="264">
        <v>13158.95</v>
      </c>
      <c r="Y118" s="264">
        <v>43088.19</v>
      </c>
      <c r="Z118" s="264">
        <v>13350.69</v>
      </c>
      <c r="AA118" s="264">
        <v>43088.19</v>
      </c>
      <c r="AB118" s="264">
        <v>13542.43</v>
      </c>
      <c r="AC118" s="264">
        <v>43088.19</v>
      </c>
      <c r="AD118" s="264">
        <v>13734.17</v>
      </c>
      <c r="AE118" s="264">
        <f t="shared" si="7"/>
        <v>43088.19</v>
      </c>
      <c r="AF118" s="264">
        <f t="shared" si="7"/>
        <v>12583.730000000001</v>
      </c>
    </row>
    <row r="119" spans="1:32">
      <c r="A119" s="24">
        <v>111</v>
      </c>
      <c r="C119" s="4" t="s">
        <v>1862</v>
      </c>
      <c r="D119" s="4" t="str">
        <f t="shared" si="8"/>
        <v>00100</v>
      </c>
      <c r="E119" s="264">
        <v>1807005.17</v>
      </c>
      <c r="F119" s="264">
        <v>407255.12</v>
      </c>
      <c r="G119" s="264">
        <v>1771449.29</v>
      </c>
      <c r="H119" s="264">
        <v>372322.8</v>
      </c>
      <c r="I119" s="264">
        <v>1773147.3599999999</v>
      </c>
      <c r="J119" s="264">
        <v>377578.10000000003</v>
      </c>
      <c r="K119" s="264">
        <v>1797236.25</v>
      </c>
      <c r="L119" s="264">
        <v>369616.56</v>
      </c>
      <c r="M119" s="264">
        <v>1797236.25</v>
      </c>
      <c r="N119" s="264">
        <v>374948.36</v>
      </c>
      <c r="O119" s="264">
        <v>1797236.25</v>
      </c>
      <c r="P119" s="264">
        <v>380280.16000000003</v>
      </c>
      <c r="Q119" s="264">
        <v>1797236.25</v>
      </c>
      <c r="R119" s="264">
        <v>385611.96</v>
      </c>
      <c r="S119" s="264">
        <v>1803466.4300000002</v>
      </c>
      <c r="T119" s="264">
        <v>390943.76</v>
      </c>
      <c r="U119" s="264">
        <v>1807125.4300000002</v>
      </c>
      <c r="V119" s="264">
        <v>396294.04000000004</v>
      </c>
      <c r="W119" s="264">
        <v>1807125.4300000002</v>
      </c>
      <c r="X119" s="264">
        <v>401655.18</v>
      </c>
      <c r="Y119" s="264">
        <v>1831828.1</v>
      </c>
      <c r="Z119" s="264">
        <v>407016.32</v>
      </c>
      <c r="AA119" s="264">
        <v>1832746.1600000001</v>
      </c>
      <c r="AB119" s="264">
        <v>412450.74</v>
      </c>
      <c r="AC119" s="264">
        <v>1832745.72</v>
      </c>
      <c r="AD119" s="264">
        <v>417887.89</v>
      </c>
      <c r="AE119" s="264">
        <f t="shared" si="7"/>
        <v>1802975.7204166667</v>
      </c>
      <c r="AF119" s="264">
        <f t="shared" si="7"/>
        <v>390107.45708333334</v>
      </c>
    </row>
    <row r="120" spans="1:32">
      <c r="A120" s="24">
        <v>112</v>
      </c>
      <c r="C120" s="4" t="s">
        <v>1863</v>
      </c>
      <c r="D120" s="4" t="str">
        <f t="shared" si="8"/>
        <v>00100</v>
      </c>
      <c r="E120" s="264">
        <v>96880.82</v>
      </c>
      <c r="F120" s="264">
        <v>35862.69</v>
      </c>
      <c r="G120" s="264">
        <v>96880.82</v>
      </c>
      <c r="H120" s="264">
        <v>36234.07</v>
      </c>
      <c r="I120" s="264">
        <v>96880.82</v>
      </c>
      <c r="J120" s="264">
        <v>36605.450000000004</v>
      </c>
      <c r="K120" s="264">
        <v>96880.82</v>
      </c>
      <c r="L120" s="264">
        <v>36976.83</v>
      </c>
      <c r="M120" s="264">
        <v>96880.82</v>
      </c>
      <c r="N120" s="264">
        <v>37348.21</v>
      </c>
      <c r="O120" s="264">
        <v>96880.82</v>
      </c>
      <c r="P120" s="264">
        <v>37719.590000000004</v>
      </c>
      <c r="Q120" s="264">
        <v>96880.82</v>
      </c>
      <c r="R120" s="264">
        <v>38090.97</v>
      </c>
      <c r="S120" s="264">
        <v>96880.82</v>
      </c>
      <c r="T120" s="264">
        <v>38462.35</v>
      </c>
      <c r="U120" s="264">
        <v>96880.82</v>
      </c>
      <c r="V120" s="264">
        <v>38833.730000000003</v>
      </c>
      <c r="W120" s="264">
        <v>96880.82</v>
      </c>
      <c r="X120" s="264">
        <v>39205.11</v>
      </c>
      <c r="Y120" s="264">
        <v>96880.82</v>
      </c>
      <c r="Z120" s="264">
        <v>39576.49</v>
      </c>
      <c r="AA120" s="264">
        <v>96880.82</v>
      </c>
      <c r="AB120" s="264">
        <v>39947.870000000003</v>
      </c>
      <c r="AC120" s="264">
        <v>96880.82</v>
      </c>
      <c r="AD120" s="264">
        <v>40319.25</v>
      </c>
      <c r="AE120" s="264">
        <f t="shared" si="7"/>
        <v>96880.820000000022</v>
      </c>
      <c r="AF120" s="264">
        <f t="shared" si="7"/>
        <v>38090.97</v>
      </c>
    </row>
    <row r="121" spans="1:32">
      <c r="A121" s="24">
        <v>113</v>
      </c>
      <c r="C121" s="4" t="s">
        <v>1864</v>
      </c>
      <c r="D121" s="4" t="str">
        <f t="shared" si="8"/>
        <v>00100</v>
      </c>
      <c r="E121" s="264">
        <v>-101377.08</v>
      </c>
      <c r="F121" s="264">
        <v>14178.11</v>
      </c>
      <c r="G121" s="264">
        <v>-101377.08</v>
      </c>
      <c r="H121" s="264">
        <v>13740.5</v>
      </c>
      <c r="I121" s="264">
        <v>-101377.08</v>
      </c>
      <c r="J121" s="264">
        <v>13302.89</v>
      </c>
      <c r="K121" s="264">
        <v>-101377.08</v>
      </c>
      <c r="L121" s="264">
        <v>12865.28</v>
      </c>
      <c r="M121" s="264">
        <v>-95577.35</v>
      </c>
      <c r="N121" s="264">
        <v>12095.300000000001</v>
      </c>
      <c r="O121" s="264">
        <v>-95577.35</v>
      </c>
      <c r="P121" s="264">
        <v>11682.73</v>
      </c>
      <c r="Q121" s="264">
        <v>-95577.35</v>
      </c>
      <c r="R121" s="264">
        <v>11270.16</v>
      </c>
      <c r="S121" s="264">
        <v>-95577.35</v>
      </c>
      <c r="T121" s="264">
        <v>10857.59</v>
      </c>
      <c r="U121" s="264">
        <v>-95577.35</v>
      </c>
      <c r="V121" s="264">
        <v>10445.02</v>
      </c>
      <c r="W121" s="264">
        <v>-95577.35</v>
      </c>
      <c r="X121" s="264">
        <v>10032.450000000001</v>
      </c>
      <c r="Y121" s="264">
        <v>-95577.35</v>
      </c>
      <c r="Z121" s="264">
        <v>9619.880000000001</v>
      </c>
      <c r="AA121" s="264">
        <v>-95577.35</v>
      </c>
      <c r="AB121" s="264">
        <v>9207.31</v>
      </c>
      <c r="AC121" s="264">
        <v>-95577.35</v>
      </c>
      <c r="AD121" s="264">
        <v>8794.74</v>
      </c>
      <c r="AE121" s="264">
        <f t="shared" si="7"/>
        <v>-97268.937916666662</v>
      </c>
      <c r="AF121" s="264">
        <f t="shared" si="7"/>
        <v>11383.794583333334</v>
      </c>
    </row>
    <row r="122" spans="1:32">
      <c r="A122" s="24">
        <v>114</v>
      </c>
      <c r="C122" s="4" t="s">
        <v>1865</v>
      </c>
      <c r="D122" s="4" t="str">
        <f t="shared" si="8"/>
        <v>00100</v>
      </c>
      <c r="E122" s="264">
        <v>26798.560000000001</v>
      </c>
      <c r="F122" s="264">
        <v>-2175.2600000000002</v>
      </c>
      <c r="G122" s="264">
        <v>26798.560000000001</v>
      </c>
      <c r="H122" s="264">
        <v>-2105.59</v>
      </c>
      <c r="I122" s="264">
        <v>26798.560000000001</v>
      </c>
      <c r="J122" s="264">
        <v>-2035.92</v>
      </c>
      <c r="K122" s="264">
        <v>26798.560000000001</v>
      </c>
      <c r="L122" s="264">
        <v>-1966.25</v>
      </c>
      <c r="M122" s="264">
        <v>26798.560000000001</v>
      </c>
      <c r="N122" s="264">
        <v>-1896.58</v>
      </c>
      <c r="O122" s="264">
        <v>26798.560000000001</v>
      </c>
      <c r="P122" s="264">
        <v>-1826.91</v>
      </c>
      <c r="Q122" s="264">
        <v>26798.560000000001</v>
      </c>
      <c r="R122" s="264">
        <v>-1757.24</v>
      </c>
      <c r="S122" s="264">
        <v>26798.560000000001</v>
      </c>
      <c r="T122" s="264">
        <v>-1687.57</v>
      </c>
      <c r="U122" s="264">
        <v>26798.560000000001</v>
      </c>
      <c r="V122" s="264">
        <v>-1617.9</v>
      </c>
      <c r="W122" s="264">
        <v>26798.560000000001</v>
      </c>
      <c r="X122" s="264">
        <v>-1548.23</v>
      </c>
      <c r="Y122" s="264">
        <v>26798.560000000001</v>
      </c>
      <c r="Z122" s="264">
        <v>-1478.56</v>
      </c>
      <c r="AA122" s="264">
        <v>26798.560000000001</v>
      </c>
      <c r="AB122" s="264">
        <v>-1408.89</v>
      </c>
      <c r="AC122" s="264">
        <v>26798.560000000001</v>
      </c>
      <c r="AD122" s="264">
        <v>-1339.22</v>
      </c>
      <c r="AE122" s="264">
        <f t="shared" si="7"/>
        <v>26798.560000000001</v>
      </c>
      <c r="AF122" s="264">
        <f t="shared" si="7"/>
        <v>-1757.24</v>
      </c>
    </row>
    <row r="123" spans="1:32">
      <c r="A123" s="24">
        <v>115</v>
      </c>
      <c r="C123" s="4" t="s">
        <v>1866</v>
      </c>
      <c r="D123" s="4" t="str">
        <f t="shared" si="8"/>
        <v>00100</v>
      </c>
      <c r="E123" s="264">
        <v>10882.89</v>
      </c>
      <c r="F123" s="264">
        <v>2068.25</v>
      </c>
      <c r="G123" s="264">
        <v>10882.89</v>
      </c>
      <c r="H123" s="264">
        <v>2153.23</v>
      </c>
      <c r="I123" s="264">
        <v>10882.89</v>
      </c>
      <c r="J123" s="264">
        <v>2238.21</v>
      </c>
      <c r="K123" s="264">
        <v>10882.89</v>
      </c>
      <c r="L123" s="264">
        <v>2323.19</v>
      </c>
      <c r="M123" s="264">
        <v>10882.89</v>
      </c>
      <c r="N123" s="264">
        <v>2408.17</v>
      </c>
      <c r="O123" s="264">
        <v>10882.89</v>
      </c>
      <c r="P123" s="264">
        <v>2493.15</v>
      </c>
      <c r="Q123" s="264">
        <v>10882.89</v>
      </c>
      <c r="R123" s="264">
        <v>2578.13</v>
      </c>
      <c r="S123" s="264">
        <v>10882.89</v>
      </c>
      <c r="T123" s="264">
        <v>2663.11</v>
      </c>
      <c r="U123" s="264">
        <v>10882.89</v>
      </c>
      <c r="V123" s="264">
        <v>2748.09</v>
      </c>
      <c r="W123" s="264">
        <v>10882.89</v>
      </c>
      <c r="X123" s="264">
        <v>2833.07</v>
      </c>
      <c r="Y123" s="264">
        <v>10882.89</v>
      </c>
      <c r="Z123" s="264">
        <v>2918.05</v>
      </c>
      <c r="AA123" s="264">
        <v>10882.89</v>
      </c>
      <c r="AB123" s="264">
        <v>3003.03</v>
      </c>
      <c r="AC123" s="264">
        <v>10882.89</v>
      </c>
      <c r="AD123" s="264">
        <v>3088.01</v>
      </c>
      <c r="AE123" s="264">
        <f t="shared" si="7"/>
        <v>10882.89</v>
      </c>
      <c r="AF123" s="264">
        <f t="shared" si="7"/>
        <v>2578.13</v>
      </c>
    </row>
    <row r="124" spans="1:32">
      <c r="A124" s="24">
        <v>116</v>
      </c>
      <c r="C124" s="4" t="s">
        <v>1867</v>
      </c>
      <c r="D124" s="4" t="str">
        <f t="shared" si="8"/>
        <v>00100</v>
      </c>
      <c r="E124" s="264">
        <v>699164.71</v>
      </c>
      <c r="F124" s="264">
        <v>658405.49</v>
      </c>
      <c r="G124" s="264">
        <v>699164.71</v>
      </c>
      <c r="H124" s="264">
        <v>658481.23</v>
      </c>
      <c r="I124" s="264">
        <v>699164.71</v>
      </c>
      <c r="J124" s="264">
        <v>658556.97</v>
      </c>
      <c r="K124" s="264">
        <v>699164.71</v>
      </c>
      <c r="L124" s="264">
        <v>658632.71</v>
      </c>
      <c r="M124" s="264">
        <v>699164.71</v>
      </c>
      <c r="N124" s="264">
        <v>658708.45000000007</v>
      </c>
      <c r="O124" s="264">
        <v>699164.71</v>
      </c>
      <c r="P124" s="264">
        <v>658784.19000000006</v>
      </c>
      <c r="Q124" s="264">
        <v>699164.71</v>
      </c>
      <c r="R124" s="264">
        <v>658859.93000000005</v>
      </c>
      <c r="S124" s="264">
        <v>699164.71</v>
      </c>
      <c r="T124" s="264">
        <v>658935.67000000004</v>
      </c>
      <c r="U124" s="264">
        <v>699164.71</v>
      </c>
      <c r="V124" s="264">
        <v>659011.41</v>
      </c>
      <c r="W124" s="264">
        <v>699164.71</v>
      </c>
      <c r="X124" s="264">
        <v>659087.15</v>
      </c>
      <c r="Y124" s="264">
        <v>699164.71</v>
      </c>
      <c r="Z124" s="264">
        <v>659162.89</v>
      </c>
      <c r="AA124" s="264">
        <v>755929.81</v>
      </c>
      <c r="AB124" s="264">
        <v>659238.63</v>
      </c>
      <c r="AC124" s="264">
        <v>755929.81</v>
      </c>
      <c r="AD124" s="264">
        <v>659320.52</v>
      </c>
      <c r="AE124" s="264">
        <f t="shared" si="7"/>
        <v>706260.34750000003</v>
      </c>
      <c r="AF124" s="264">
        <f t="shared" si="7"/>
        <v>658860.18625000003</v>
      </c>
    </row>
    <row r="125" spans="1:32">
      <c r="A125" s="24">
        <v>117</v>
      </c>
      <c r="C125" s="4" t="s">
        <v>1868</v>
      </c>
      <c r="D125" s="4" t="str">
        <f t="shared" si="8"/>
        <v>00100</v>
      </c>
      <c r="E125" s="264">
        <v>134305.54</v>
      </c>
      <c r="F125" s="264">
        <v>-70992.490000000005</v>
      </c>
      <c r="G125" s="264">
        <v>134305.54</v>
      </c>
      <c r="H125" s="264">
        <v>-69965.05</v>
      </c>
      <c r="I125" s="264">
        <v>134305.54</v>
      </c>
      <c r="J125" s="264">
        <v>-68937.61</v>
      </c>
      <c r="K125" s="264">
        <v>134305.54</v>
      </c>
      <c r="L125" s="264">
        <v>-67910.17</v>
      </c>
      <c r="M125" s="264">
        <v>134305.54</v>
      </c>
      <c r="N125" s="264">
        <v>-66882.73</v>
      </c>
      <c r="O125" s="264">
        <v>134305.54</v>
      </c>
      <c r="P125" s="264">
        <v>-65855.290000000008</v>
      </c>
      <c r="Q125" s="264">
        <v>134305.54</v>
      </c>
      <c r="R125" s="264">
        <v>-64827.85</v>
      </c>
      <c r="S125" s="264">
        <v>134305.54</v>
      </c>
      <c r="T125" s="264">
        <v>-63800.41</v>
      </c>
      <c r="U125" s="264">
        <v>134305.54</v>
      </c>
      <c r="V125" s="264">
        <v>-62772.97</v>
      </c>
      <c r="W125" s="264">
        <v>134305.54</v>
      </c>
      <c r="X125" s="264">
        <v>-61745.53</v>
      </c>
      <c r="Y125" s="264">
        <v>134305.54</v>
      </c>
      <c r="Z125" s="264">
        <v>-60718.090000000004</v>
      </c>
      <c r="AA125" s="264">
        <v>134305.54</v>
      </c>
      <c r="AB125" s="264">
        <v>-59690.65</v>
      </c>
      <c r="AC125" s="264">
        <v>134305.54</v>
      </c>
      <c r="AD125" s="264">
        <v>-58663.21</v>
      </c>
      <c r="AE125" s="264">
        <f t="shared" si="7"/>
        <v>134305.54</v>
      </c>
      <c r="AF125" s="264">
        <f t="shared" si="7"/>
        <v>-64827.85</v>
      </c>
    </row>
    <row r="126" spans="1:32">
      <c r="A126" s="24">
        <v>118</v>
      </c>
      <c r="C126" s="4" t="s">
        <v>1869</v>
      </c>
      <c r="D126" s="4" t="str">
        <f t="shared" si="8"/>
        <v>00100</v>
      </c>
      <c r="E126" s="264">
        <v>59484.53</v>
      </c>
      <c r="F126" s="264">
        <v>-749.38</v>
      </c>
      <c r="G126" s="264">
        <v>59484.53</v>
      </c>
      <c r="H126" s="264">
        <v>-228.39000000000001</v>
      </c>
      <c r="I126" s="264">
        <v>59484.53</v>
      </c>
      <c r="J126" s="264">
        <v>292.60000000000002</v>
      </c>
      <c r="K126" s="264">
        <v>59484.53</v>
      </c>
      <c r="L126" s="264">
        <v>813.59</v>
      </c>
      <c r="M126" s="264">
        <v>59484.53</v>
      </c>
      <c r="N126" s="264">
        <v>1334.58</v>
      </c>
      <c r="O126" s="264">
        <v>59484.53</v>
      </c>
      <c r="P126" s="264">
        <v>1855.57</v>
      </c>
      <c r="Q126" s="264">
        <v>59484.53</v>
      </c>
      <c r="R126" s="264">
        <v>2376.56</v>
      </c>
      <c r="S126" s="264">
        <v>59484.53</v>
      </c>
      <c r="T126" s="264">
        <v>2897.55</v>
      </c>
      <c r="U126" s="264">
        <v>59484.53</v>
      </c>
      <c r="V126" s="264">
        <v>3418.54</v>
      </c>
      <c r="W126" s="264">
        <v>59484.53</v>
      </c>
      <c r="X126" s="264">
        <v>3939.53</v>
      </c>
      <c r="Y126" s="264">
        <v>59484.53</v>
      </c>
      <c r="Z126" s="264">
        <v>4460.5200000000004</v>
      </c>
      <c r="AA126" s="264">
        <v>59484.53</v>
      </c>
      <c r="AB126" s="264">
        <v>4981.51</v>
      </c>
      <c r="AC126" s="264">
        <v>59484.53</v>
      </c>
      <c r="AD126" s="264">
        <v>5502.5</v>
      </c>
      <c r="AE126" s="264">
        <f t="shared" si="7"/>
        <v>59484.530000000021</v>
      </c>
      <c r="AF126" s="264">
        <f t="shared" si="7"/>
        <v>2376.5600000000004</v>
      </c>
    </row>
    <row r="127" spans="1:32">
      <c r="A127" s="24">
        <v>119</v>
      </c>
      <c r="C127" s="4" t="s">
        <v>1870</v>
      </c>
      <c r="D127" s="4" t="str">
        <f t="shared" si="8"/>
        <v>00101</v>
      </c>
      <c r="E127" s="264">
        <v>152895.69</v>
      </c>
      <c r="F127" s="264">
        <v>877.88</v>
      </c>
      <c r="G127" s="264">
        <v>152895.69</v>
      </c>
      <c r="H127" s="264">
        <v>1755.76</v>
      </c>
      <c r="I127" s="264">
        <v>152895.69</v>
      </c>
      <c r="J127" s="264">
        <v>2633.64</v>
      </c>
      <c r="K127" s="264">
        <v>160441.69</v>
      </c>
      <c r="L127" s="264">
        <v>-5239.4800000000005</v>
      </c>
      <c r="M127" s="264">
        <v>1711691.02</v>
      </c>
      <c r="N127" s="264">
        <v>-4318.28</v>
      </c>
      <c r="O127" s="264">
        <v>1814160.85</v>
      </c>
      <c r="P127" s="264">
        <v>5501.22</v>
      </c>
      <c r="Q127" s="264">
        <v>1841077.5899999999</v>
      </c>
      <c r="R127" s="264">
        <v>15917.53</v>
      </c>
      <c r="S127" s="264">
        <v>1841077.5899999999</v>
      </c>
      <c r="T127" s="264">
        <v>26470.74</v>
      </c>
      <c r="U127" s="264">
        <v>1932569.9300000002</v>
      </c>
      <c r="V127" s="264">
        <v>37041.590000000004</v>
      </c>
      <c r="W127" s="264">
        <v>2015329.4</v>
      </c>
      <c r="X127" s="264">
        <v>52694.76</v>
      </c>
      <c r="Y127" s="264">
        <v>2093935.68</v>
      </c>
      <c r="Z127" s="264">
        <v>64266.11</v>
      </c>
      <c r="AA127" s="264">
        <v>2094021.05</v>
      </c>
      <c r="AB127" s="264">
        <v>76288.790000000008</v>
      </c>
      <c r="AC127" s="264">
        <v>2097605.38</v>
      </c>
      <c r="AD127" s="264">
        <v>88311.96</v>
      </c>
      <c r="AE127" s="264">
        <f t="shared" si="7"/>
        <v>1411278.8929166666</v>
      </c>
      <c r="AF127" s="264">
        <f t="shared" si="7"/>
        <v>26467.274999999998</v>
      </c>
    </row>
    <row r="128" spans="1:32">
      <c r="A128" s="24">
        <v>120</v>
      </c>
      <c r="C128" s="4" t="s">
        <v>1871</v>
      </c>
      <c r="D128" s="4" t="str">
        <f t="shared" si="8"/>
        <v>00101</v>
      </c>
      <c r="E128" s="264">
        <v>51182030.329999998</v>
      </c>
      <c r="F128" s="264">
        <v>16837378.149999999</v>
      </c>
      <c r="G128" s="264">
        <v>51160208.359999999</v>
      </c>
      <c r="H128" s="264">
        <v>16899812.190000001</v>
      </c>
      <c r="I128" s="264">
        <v>51060135.469999999</v>
      </c>
      <c r="J128" s="264">
        <v>16852905.27</v>
      </c>
      <c r="K128" s="264">
        <v>51639163.960000001</v>
      </c>
      <c r="L128" s="264">
        <v>16920899.539999999</v>
      </c>
      <c r="M128" s="264">
        <v>50406543.200000003</v>
      </c>
      <c r="N128" s="264">
        <v>16957899.129999999</v>
      </c>
      <c r="O128" s="264">
        <v>51892286.270000003</v>
      </c>
      <c r="P128" s="264">
        <v>17019364.969999999</v>
      </c>
      <c r="Q128" s="264">
        <v>52379921.789999999</v>
      </c>
      <c r="R128" s="264">
        <v>17013189.66</v>
      </c>
      <c r="S128" s="264">
        <v>52727038.460000001</v>
      </c>
      <c r="T128" s="264">
        <v>17083649.920000002</v>
      </c>
      <c r="U128" s="264">
        <v>52882327.759999998</v>
      </c>
      <c r="V128" s="264">
        <v>17183391.899999999</v>
      </c>
      <c r="W128" s="264">
        <v>53103996.219999999</v>
      </c>
      <c r="X128" s="264">
        <v>17141518.27</v>
      </c>
      <c r="Y128" s="264">
        <v>53335011</v>
      </c>
      <c r="Z128" s="264">
        <v>17129958.969999999</v>
      </c>
      <c r="AA128" s="264">
        <v>53897711.869999997</v>
      </c>
      <c r="AB128" s="264">
        <v>17190421.510000002</v>
      </c>
      <c r="AC128" s="264">
        <v>54174250</v>
      </c>
      <c r="AD128" s="264">
        <v>17253698.82</v>
      </c>
      <c r="AE128" s="264">
        <f t="shared" si="7"/>
        <v>52263540.377083331</v>
      </c>
      <c r="AF128" s="264">
        <f t="shared" si="7"/>
        <v>17036545.817916665</v>
      </c>
    </row>
    <row r="129" spans="1:32">
      <c r="A129" s="24">
        <v>121</v>
      </c>
      <c r="C129" s="4" t="s">
        <v>1872</v>
      </c>
      <c r="D129" s="4" t="str">
        <f t="shared" si="8"/>
        <v>00101</v>
      </c>
      <c r="E129" s="264">
        <v>10358744.91</v>
      </c>
      <c r="F129" s="264">
        <v>3715135.11</v>
      </c>
      <c r="G129" s="264">
        <v>10355536.439999999</v>
      </c>
      <c r="H129" s="264">
        <v>3726929.45</v>
      </c>
      <c r="I129" s="264">
        <v>10315040.960000001</v>
      </c>
      <c r="J129" s="264">
        <v>3706454.67</v>
      </c>
      <c r="K129" s="264">
        <v>10333469.91</v>
      </c>
      <c r="L129" s="264">
        <v>3719301.89</v>
      </c>
      <c r="M129" s="264">
        <v>10338986.5</v>
      </c>
      <c r="N129" s="264">
        <v>3725738.58</v>
      </c>
      <c r="O129" s="264">
        <v>10366133.07</v>
      </c>
      <c r="P129" s="264">
        <v>3725109.34</v>
      </c>
      <c r="Q129" s="264">
        <v>10339476.75</v>
      </c>
      <c r="R129" s="264">
        <v>3712275.58</v>
      </c>
      <c r="S129" s="264">
        <v>10339574.16</v>
      </c>
      <c r="T129" s="264">
        <v>3722128.14</v>
      </c>
      <c r="U129" s="264">
        <v>10368697.16</v>
      </c>
      <c r="V129" s="264">
        <v>3742117.98</v>
      </c>
      <c r="W129" s="264">
        <v>10393997.16</v>
      </c>
      <c r="X129" s="264">
        <v>3729577.88</v>
      </c>
      <c r="Y129" s="264">
        <v>10378396.300000001</v>
      </c>
      <c r="Z129" s="264">
        <v>3703590.21</v>
      </c>
      <c r="AA129" s="264">
        <v>10373562.83</v>
      </c>
      <c r="AB129" s="264">
        <v>3707805.92</v>
      </c>
      <c r="AC129" s="264">
        <v>10387456.75</v>
      </c>
      <c r="AD129" s="264">
        <v>3712345.17</v>
      </c>
      <c r="AE129" s="264">
        <f t="shared" si="7"/>
        <v>10356331.005833333</v>
      </c>
      <c r="AF129" s="264">
        <f t="shared" si="7"/>
        <v>3719564.1483333334</v>
      </c>
    </row>
    <row r="130" spans="1:32">
      <c r="A130" s="24">
        <v>122</v>
      </c>
      <c r="B130" s="266" t="s">
        <v>1831</v>
      </c>
      <c r="C130" s="267"/>
      <c r="D130" s="266" t="s">
        <v>1873</v>
      </c>
      <c r="E130" s="268">
        <f>SUM(E91:E129)</f>
        <v>112362136.67000002</v>
      </c>
      <c r="F130" s="268">
        <f t="shared" ref="F130:AF130" si="9">SUM(F91:F129)</f>
        <v>39200450.210000001</v>
      </c>
      <c r="G130" s="268">
        <f t="shared" si="9"/>
        <v>112571769.66999999</v>
      </c>
      <c r="H130" s="268">
        <f t="shared" si="9"/>
        <v>39526591.510000013</v>
      </c>
      <c r="I130" s="268">
        <f t="shared" si="9"/>
        <v>112454606.22</v>
      </c>
      <c r="J130" s="268">
        <f t="shared" si="9"/>
        <v>39755859.020000003</v>
      </c>
      <c r="K130" s="268">
        <f t="shared" si="9"/>
        <v>113101483.36</v>
      </c>
      <c r="L130" s="268">
        <f t="shared" si="9"/>
        <v>40082008.399999999</v>
      </c>
      <c r="M130" s="268">
        <f t="shared" si="9"/>
        <v>113359532.71000001</v>
      </c>
      <c r="N130" s="268">
        <f t="shared" si="9"/>
        <v>40361238.510000005</v>
      </c>
      <c r="O130" s="268">
        <f t="shared" si="9"/>
        <v>115014438.06999999</v>
      </c>
      <c r="P130" s="268">
        <f t="shared" si="9"/>
        <v>40727219.090000004</v>
      </c>
      <c r="Q130" s="268">
        <f t="shared" si="9"/>
        <v>115477290.96000001</v>
      </c>
      <c r="R130" s="268">
        <f t="shared" si="9"/>
        <v>40994379.859999999</v>
      </c>
      <c r="S130" s="268">
        <f t="shared" si="9"/>
        <v>115830751.41</v>
      </c>
      <c r="T130" s="268">
        <f t="shared" si="9"/>
        <v>41364992.230000004</v>
      </c>
      <c r="U130" s="268">
        <f t="shared" si="9"/>
        <v>116340557.40000001</v>
      </c>
      <c r="V130" s="268">
        <f t="shared" si="9"/>
        <v>41780642.32</v>
      </c>
      <c r="W130" s="268">
        <f t="shared" si="9"/>
        <v>116675236.34</v>
      </c>
      <c r="X130" s="268">
        <f t="shared" si="9"/>
        <v>42032811.619999997</v>
      </c>
      <c r="Y130" s="268">
        <f t="shared" si="9"/>
        <v>116988147.11999999</v>
      </c>
      <c r="Z130" s="268">
        <f t="shared" si="9"/>
        <v>42288253.859999999</v>
      </c>
      <c r="AA130" s="268">
        <f t="shared" si="9"/>
        <v>117607026.10999998</v>
      </c>
      <c r="AB130" s="268">
        <f t="shared" si="9"/>
        <v>42645845.780000001</v>
      </c>
      <c r="AC130" s="268">
        <f t="shared" si="9"/>
        <v>117946720.29000001</v>
      </c>
      <c r="AD130" s="268">
        <f t="shared" si="9"/>
        <v>43006649.770000011</v>
      </c>
      <c r="AE130" s="268">
        <f t="shared" si="9"/>
        <v>115047938.98749998</v>
      </c>
      <c r="AF130" s="268">
        <f t="shared" si="9"/>
        <v>41055282.682499997</v>
      </c>
    </row>
    <row r="131" spans="1:32">
      <c r="A131" s="24">
        <v>123</v>
      </c>
      <c r="B131" s="1258" t="s">
        <v>1874</v>
      </c>
      <c r="C131" s="1258"/>
      <c r="D131" s="269"/>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row>
    <row r="132" spans="1:32">
      <c r="A132" s="24">
        <v>124</v>
      </c>
      <c r="C132" s="4" t="s">
        <v>1875</v>
      </c>
      <c r="E132" s="264">
        <v>0</v>
      </c>
      <c r="F132" s="264">
        <v>0</v>
      </c>
      <c r="G132" s="264">
        <v>0</v>
      </c>
      <c r="H132" s="264">
        <v>0</v>
      </c>
      <c r="I132" s="264">
        <v>0</v>
      </c>
      <c r="J132" s="264">
        <v>0</v>
      </c>
      <c r="K132" s="264">
        <v>0</v>
      </c>
      <c r="L132" s="264">
        <v>0</v>
      </c>
      <c r="M132" s="264">
        <v>0</v>
      </c>
      <c r="N132" s="264">
        <v>0</v>
      </c>
      <c r="O132" s="264">
        <v>0</v>
      </c>
      <c r="P132" s="264">
        <v>0</v>
      </c>
      <c r="Q132" s="264">
        <v>0</v>
      </c>
      <c r="R132" s="264">
        <v>0</v>
      </c>
      <c r="S132" s="264">
        <v>0</v>
      </c>
      <c r="T132" s="264">
        <v>0</v>
      </c>
      <c r="U132" s="264">
        <v>87147.19</v>
      </c>
      <c r="V132" s="264">
        <v>30084.41</v>
      </c>
      <c r="W132" s="264">
        <v>87147.19</v>
      </c>
      <c r="X132" s="264">
        <v>30154.9</v>
      </c>
      <c r="Y132" s="264">
        <v>87147.19</v>
      </c>
      <c r="Z132" s="264">
        <v>30225.39</v>
      </c>
      <c r="AA132" s="264">
        <v>87147.19</v>
      </c>
      <c r="AB132" s="264">
        <v>30295.88</v>
      </c>
      <c r="AC132" s="264">
        <v>87147.19</v>
      </c>
      <c r="AD132" s="264">
        <v>30366.37</v>
      </c>
      <c r="AE132" s="264">
        <f t="shared" ref="AE132:AF134" si="10">+(E132+AC132+(+G132+I132+K132+M132+O132+Q132+S132+U132+W132+Y132+AA132)*2)/24</f>
        <v>32680.196249999997</v>
      </c>
      <c r="AF132" s="264">
        <f t="shared" si="10"/>
        <v>11328.647083333335</v>
      </c>
    </row>
    <row r="133" spans="1:32">
      <c r="A133" s="24">
        <v>125</v>
      </c>
      <c r="C133" s="4" t="s">
        <v>1876</v>
      </c>
      <c r="E133" s="264">
        <v>4535.99</v>
      </c>
      <c r="F133" s="264">
        <v>2551.4299999999998</v>
      </c>
      <c r="G133" s="264">
        <v>4535.99</v>
      </c>
      <c r="H133" s="264">
        <v>2559.54</v>
      </c>
      <c r="I133" s="264">
        <v>4535.99</v>
      </c>
      <c r="J133" s="264">
        <v>2567.65</v>
      </c>
      <c r="K133" s="264">
        <v>4535.99</v>
      </c>
      <c r="L133" s="264">
        <v>2575.75</v>
      </c>
      <c r="M133" s="264">
        <v>4535.99</v>
      </c>
      <c r="N133" s="264">
        <v>2583.86</v>
      </c>
      <c r="O133" s="264">
        <v>4535.99</v>
      </c>
      <c r="P133" s="264">
        <v>2591.96</v>
      </c>
      <c r="Q133" s="264">
        <v>4535.99</v>
      </c>
      <c r="R133" s="264">
        <v>2600.0700000000002</v>
      </c>
      <c r="S133" s="264">
        <v>4535.99</v>
      </c>
      <c r="T133" s="264">
        <v>2608.17</v>
      </c>
      <c r="U133" s="264">
        <v>4535.99</v>
      </c>
      <c r="V133" s="264">
        <v>2616.27</v>
      </c>
      <c r="W133" s="264">
        <v>0</v>
      </c>
      <c r="X133" s="264">
        <v>0</v>
      </c>
      <c r="Y133" s="264">
        <v>0</v>
      </c>
      <c r="Z133" s="264">
        <v>0</v>
      </c>
      <c r="AA133" s="264">
        <v>0</v>
      </c>
      <c r="AB133" s="264">
        <v>0</v>
      </c>
      <c r="AC133" s="264">
        <v>0</v>
      </c>
      <c r="AD133" s="264">
        <v>0</v>
      </c>
      <c r="AE133" s="264">
        <f t="shared" si="10"/>
        <v>3212.9929166666661</v>
      </c>
      <c r="AF133" s="264">
        <f t="shared" si="10"/>
        <v>1831.5820833333335</v>
      </c>
    </row>
    <row r="134" spans="1:32">
      <c r="A134" s="24">
        <v>126</v>
      </c>
      <c r="C134" s="4" t="s">
        <v>1877</v>
      </c>
      <c r="E134" s="264">
        <v>15387550.01</v>
      </c>
      <c r="F134" s="264">
        <v>8466077.3900000341</v>
      </c>
      <c r="G134" s="264">
        <v>15387550.01</v>
      </c>
      <c r="H134" s="264">
        <v>3731275.7599998023</v>
      </c>
      <c r="I134" s="264">
        <v>15387550.01</v>
      </c>
      <c r="J134" s="264">
        <v>3731319.9400000405</v>
      </c>
      <c r="K134" s="264">
        <v>15428541.02</v>
      </c>
      <c r="L134" s="264">
        <v>3756741.1300001</v>
      </c>
      <c r="M134" s="264">
        <v>15428541.02</v>
      </c>
      <c r="N134" s="264">
        <v>3756785.3299999214</v>
      </c>
      <c r="O134" s="264">
        <v>15428541.02</v>
      </c>
      <c r="P134" s="264">
        <v>3756829.5099999215</v>
      </c>
      <c r="Q134" s="264">
        <v>15513606.02</v>
      </c>
      <c r="R134" s="264">
        <v>3751844.7100001597</v>
      </c>
      <c r="S134" s="264">
        <v>15513606.02</v>
      </c>
      <c r="T134" s="264">
        <v>3751888.8900000406</v>
      </c>
      <c r="U134" s="264">
        <v>15349364.130000001</v>
      </c>
      <c r="V134" s="264">
        <v>3897392.37</v>
      </c>
      <c r="W134" s="264">
        <v>15304937.890000001</v>
      </c>
      <c r="X134" s="264">
        <v>3875947.42</v>
      </c>
      <c r="Y134" s="264">
        <v>15304937.890000001</v>
      </c>
      <c r="Z134" s="264">
        <v>3893544.55</v>
      </c>
      <c r="AA134" s="264">
        <v>15304937.890000001</v>
      </c>
      <c r="AB134" s="264">
        <v>3911141.64</v>
      </c>
      <c r="AC134" s="264">
        <v>16492357.26</v>
      </c>
      <c r="AD134" s="264">
        <v>3912178.58</v>
      </c>
      <c r="AE134" s="264">
        <f t="shared" si="10"/>
        <v>15441005.546249995</v>
      </c>
      <c r="AF134" s="264">
        <f t="shared" si="10"/>
        <v>4000319.9362499998</v>
      </c>
    </row>
    <row r="135" spans="1:32">
      <c r="A135" s="24">
        <v>127</v>
      </c>
      <c r="B135" s="1259" t="s">
        <v>1874</v>
      </c>
      <c r="C135" s="1259"/>
      <c r="D135" s="266"/>
      <c r="E135" s="268">
        <f>SUM(E132:E134)</f>
        <v>15392086</v>
      </c>
      <c r="F135" s="268">
        <f t="shared" ref="F135:AF135" si="11">SUM(F132:F134)</f>
        <v>8468628.8200000338</v>
      </c>
      <c r="G135" s="268">
        <f t="shared" si="11"/>
        <v>15392086</v>
      </c>
      <c r="H135" s="268">
        <f t="shared" si="11"/>
        <v>3733835.2999998024</v>
      </c>
      <c r="I135" s="268">
        <f t="shared" si="11"/>
        <v>15392086</v>
      </c>
      <c r="J135" s="268">
        <f t="shared" si="11"/>
        <v>3733887.5900000404</v>
      </c>
      <c r="K135" s="268">
        <f t="shared" si="11"/>
        <v>15433077.01</v>
      </c>
      <c r="L135" s="268">
        <f t="shared" si="11"/>
        <v>3759316.8800001</v>
      </c>
      <c r="M135" s="268">
        <f t="shared" si="11"/>
        <v>15433077.01</v>
      </c>
      <c r="N135" s="268">
        <f t="shared" si="11"/>
        <v>3759369.1899999212</v>
      </c>
      <c r="O135" s="268">
        <f t="shared" si="11"/>
        <v>15433077.01</v>
      </c>
      <c r="P135" s="268">
        <f t="shared" si="11"/>
        <v>3759421.4699999215</v>
      </c>
      <c r="Q135" s="268">
        <f t="shared" si="11"/>
        <v>15518142.01</v>
      </c>
      <c r="R135" s="268">
        <f t="shared" si="11"/>
        <v>3754444.7800001595</v>
      </c>
      <c r="S135" s="268">
        <f t="shared" si="11"/>
        <v>15518142.01</v>
      </c>
      <c r="T135" s="268">
        <f t="shared" si="11"/>
        <v>3754497.0600000406</v>
      </c>
      <c r="U135" s="268">
        <f t="shared" si="11"/>
        <v>15441047.310000001</v>
      </c>
      <c r="V135" s="268">
        <f t="shared" si="11"/>
        <v>3930093.0500000003</v>
      </c>
      <c r="W135" s="268">
        <f t="shared" si="11"/>
        <v>15392085.08</v>
      </c>
      <c r="X135" s="268">
        <f t="shared" si="11"/>
        <v>3906102.32</v>
      </c>
      <c r="Y135" s="268">
        <f t="shared" si="11"/>
        <v>15392085.08</v>
      </c>
      <c r="Z135" s="268">
        <f t="shared" si="11"/>
        <v>3923769.94</v>
      </c>
      <c r="AA135" s="268">
        <f t="shared" si="11"/>
        <v>15392085.08</v>
      </c>
      <c r="AB135" s="268">
        <f t="shared" si="11"/>
        <v>3941437.52</v>
      </c>
      <c r="AC135" s="268">
        <f t="shared" si="11"/>
        <v>16579504.449999999</v>
      </c>
      <c r="AD135" s="268">
        <f t="shared" si="11"/>
        <v>3942544.95</v>
      </c>
      <c r="AE135" s="268">
        <f t="shared" si="11"/>
        <v>15476898.735416662</v>
      </c>
      <c r="AF135" s="268">
        <f t="shared" si="11"/>
        <v>4013480.1654166663</v>
      </c>
    </row>
    <row r="136" spans="1:32">
      <c r="A136" s="24">
        <v>128</v>
      </c>
    </row>
    <row r="137" spans="1:32" ht="16.5" thickBot="1">
      <c r="A137" s="24">
        <v>129</v>
      </c>
      <c r="B137" s="271"/>
      <c r="C137" s="272" t="s">
        <v>1878</v>
      </c>
      <c r="D137" s="271"/>
      <c r="E137" s="273">
        <f>SUM(E135,E130,E89,E46)</f>
        <v>870184135.21000016</v>
      </c>
      <c r="F137" s="274">
        <f t="shared" ref="F137:AF137" si="12">SUM(F135,F130,F89,F46)</f>
        <v>433067740.01999992</v>
      </c>
      <c r="G137" s="273">
        <f t="shared" si="12"/>
        <v>871816436.24000001</v>
      </c>
      <c r="H137" s="274">
        <f t="shared" si="12"/>
        <v>434697330.28999996</v>
      </c>
      <c r="I137" s="273">
        <f t="shared" si="12"/>
        <v>873088659.97000015</v>
      </c>
      <c r="J137" s="274">
        <f t="shared" si="12"/>
        <v>436498576.22000003</v>
      </c>
      <c r="K137" s="273">
        <f t="shared" si="12"/>
        <v>876255017.16999996</v>
      </c>
      <c r="L137" s="274">
        <f t="shared" si="12"/>
        <v>437711221.13999999</v>
      </c>
      <c r="M137" s="273">
        <f t="shared" si="12"/>
        <v>879184494.24000001</v>
      </c>
      <c r="N137" s="274">
        <f t="shared" si="12"/>
        <v>439640788.68000001</v>
      </c>
      <c r="O137" s="273">
        <f t="shared" si="12"/>
        <v>882225235.36000013</v>
      </c>
      <c r="P137" s="274">
        <f t="shared" si="12"/>
        <v>441710249.43999994</v>
      </c>
      <c r="Q137" s="273">
        <f t="shared" si="12"/>
        <v>884981171.16999984</v>
      </c>
      <c r="R137" s="274">
        <f t="shared" si="12"/>
        <v>443227594.39000005</v>
      </c>
      <c r="S137" s="273">
        <f t="shared" si="12"/>
        <v>888699901.63</v>
      </c>
      <c r="T137" s="274">
        <f t="shared" si="12"/>
        <v>445185388.59000003</v>
      </c>
      <c r="U137" s="273">
        <f t="shared" si="12"/>
        <v>900821526.50999999</v>
      </c>
      <c r="V137" s="274">
        <f t="shared" si="12"/>
        <v>447162143.47000003</v>
      </c>
      <c r="W137" s="273">
        <f t="shared" si="12"/>
        <v>904664746.21999979</v>
      </c>
      <c r="X137" s="274">
        <f t="shared" si="12"/>
        <v>448787560.88999999</v>
      </c>
      <c r="Y137" s="273">
        <f t="shared" si="12"/>
        <v>910978182.97999966</v>
      </c>
      <c r="Z137" s="274">
        <f t="shared" si="12"/>
        <v>450672015.14999998</v>
      </c>
      <c r="AA137" s="273">
        <f t="shared" si="12"/>
        <v>913158696.38999975</v>
      </c>
      <c r="AB137" s="274">
        <f t="shared" si="12"/>
        <v>452561850.26000011</v>
      </c>
      <c r="AC137" s="273">
        <f t="shared" si="12"/>
        <v>922694563.90999997</v>
      </c>
      <c r="AD137" s="274">
        <f t="shared" si="12"/>
        <v>454336084.94999993</v>
      </c>
      <c r="AE137" s="274">
        <f t="shared" si="12"/>
        <v>890192784.78666639</v>
      </c>
      <c r="AF137" s="274">
        <f t="shared" si="12"/>
        <v>443463052.58374989</v>
      </c>
    </row>
    <row r="138" spans="1:32" ht="16.5" thickTop="1">
      <c r="A138" s="24">
        <v>130</v>
      </c>
      <c r="F138" s="35"/>
      <c r="H138" s="35"/>
      <c r="J138" s="35"/>
      <c r="L138" s="35"/>
      <c r="N138" s="35"/>
      <c r="P138" s="35"/>
      <c r="R138" s="35"/>
      <c r="T138" s="35"/>
    </row>
    <row r="139" spans="1:32">
      <c r="A139" s="24">
        <v>131</v>
      </c>
      <c r="F139" s="35"/>
      <c r="H139" s="35"/>
      <c r="I139" s="35"/>
      <c r="J139" s="35"/>
      <c r="K139" s="35"/>
      <c r="L139" s="35"/>
      <c r="M139" s="35"/>
      <c r="N139" s="35"/>
      <c r="O139" s="35"/>
      <c r="P139" s="35"/>
      <c r="Q139" s="35"/>
      <c r="R139" s="35"/>
      <c r="S139" s="35"/>
      <c r="T139" s="35"/>
      <c r="X139" s="275" t="s">
        <v>1941</v>
      </c>
      <c r="Y139" s="275"/>
      <c r="Z139" s="275"/>
      <c r="AC139" s="276"/>
      <c r="AD139" s="276"/>
      <c r="AE139" s="35">
        <f>+'Working Capital Work Paper'!S11+'Working Capital Work Paper'!S12</f>
        <v>890192784.78249991</v>
      </c>
    </row>
    <row r="140" spans="1:32" ht="30">
      <c r="A140" s="24">
        <v>132</v>
      </c>
      <c r="B140" s="805" t="s">
        <v>2084</v>
      </c>
      <c r="D140" s="8"/>
      <c r="X140" s="275" t="s">
        <v>1942</v>
      </c>
      <c r="AA140" s="277"/>
      <c r="AB140" s="277"/>
      <c r="AC140" s="276"/>
      <c r="AD140" s="276"/>
      <c r="AE140" s="35"/>
      <c r="AF140" s="35">
        <f>-'Working Capital Work Paper'!S27+'Working Capital Work Paper'!S17</f>
        <v>443463061.80874997</v>
      </c>
    </row>
    <row r="141" spans="1:32">
      <c r="A141" s="24">
        <v>133</v>
      </c>
    </row>
    <row r="142" spans="1:32">
      <c r="A142" s="24">
        <v>134</v>
      </c>
      <c r="Q142" s="35"/>
    </row>
    <row r="143" spans="1:32">
      <c r="A143" s="24">
        <v>135</v>
      </c>
      <c r="D143" s="277" t="s">
        <v>1879</v>
      </c>
      <c r="F143" s="35">
        <f>E89</f>
        <v>576210019.71000016</v>
      </c>
      <c r="H143" s="35">
        <f>G89</f>
        <v>577681602.6400001</v>
      </c>
      <c r="J143" s="35">
        <f>I89</f>
        <v>578887129.49000013</v>
      </c>
      <c r="L143" s="35">
        <f>K89</f>
        <v>580920985.41999996</v>
      </c>
      <c r="N143" s="35">
        <f>M89</f>
        <v>583272418.28999996</v>
      </c>
      <c r="P143" s="35">
        <f>O89</f>
        <v>584216840.6500001</v>
      </c>
      <c r="R143" s="35">
        <f>Q89</f>
        <v>585599739.0799998</v>
      </c>
      <c r="T143" s="35">
        <f>S89</f>
        <v>588618364.70000005</v>
      </c>
      <c r="V143" s="35">
        <f>U89</f>
        <v>598832328.44999993</v>
      </c>
      <c r="X143" s="35">
        <f>W89</f>
        <v>601967532.84999979</v>
      </c>
      <c r="Z143" s="35">
        <f>Y89</f>
        <v>607446404.66999972</v>
      </c>
      <c r="AB143" s="35">
        <f>AA89</f>
        <v>608700709.48999977</v>
      </c>
      <c r="AD143" s="35">
        <f>AC89</f>
        <v>614373017.27999997</v>
      </c>
    </row>
    <row r="144" spans="1:32">
      <c r="A144" s="24">
        <v>136</v>
      </c>
      <c r="D144" s="277" t="s">
        <v>1880</v>
      </c>
      <c r="E144" s="278">
        <v>0.75729999999999997</v>
      </c>
      <c r="F144" s="35">
        <f>E144*SUM(E91:E126)</f>
        <v>38371229.104902014</v>
      </c>
      <c r="G144" s="278">
        <v>0.75270000000000004</v>
      </c>
      <c r="H144" s="35">
        <f>G144*SUM(G91:G126)</f>
        <v>38314785.333786003</v>
      </c>
      <c r="I144" s="278">
        <v>0.75270000000000004</v>
      </c>
      <c r="J144" s="35">
        <f>I144*SUM(I91:I126)</f>
        <v>38332402.217070006</v>
      </c>
      <c r="K144" s="278">
        <v>0.75270000000000004</v>
      </c>
      <c r="L144" s="35">
        <f>K144*SUM(K91:K126)</f>
        <v>38363920.551060006</v>
      </c>
      <c r="M144" s="278">
        <v>0.75270000000000004</v>
      </c>
      <c r="N144" s="35">
        <f>M144*SUM(M91:M126)</f>
        <v>38314170.234873004</v>
      </c>
      <c r="O144" s="278">
        <v>0.75270000000000004</v>
      </c>
      <c r="P144" s="35">
        <f>O144*SUM(O91:O126)</f>
        <v>38343936.426276006</v>
      </c>
      <c r="Q144" s="278">
        <v>0.75270000000000004</v>
      </c>
      <c r="R144" s="35">
        <f>Q144*SUM(Q91:Q126)</f>
        <v>38325086.522541009</v>
      </c>
      <c r="S144" s="278">
        <v>0.75270000000000004</v>
      </c>
      <c r="T144" s="35">
        <f>S144*SUM(S91:S126)</f>
        <v>38329788.165240005</v>
      </c>
      <c r="U144" s="278">
        <v>0.75270000000000004</v>
      </c>
      <c r="V144" s="35">
        <f>U144*SUM(U91:U126)</f>
        <v>38505845.711385004</v>
      </c>
      <c r="W144" s="278">
        <v>0.75270000000000004</v>
      </c>
      <c r="X144" s="35">
        <f>W144*SUM(W91:W126)</f>
        <v>38509572.336612001</v>
      </c>
      <c r="Y144" s="278">
        <v>0.75270000000000004</v>
      </c>
      <c r="Z144" s="35">
        <f>Y144*SUM(Y91:Y126)</f>
        <v>38523791.276177995</v>
      </c>
      <c r="AA144" s="278">
        <v>0.75270000000000004</v>
      </c>
      <c r="AB144" s="35">
        <f>AA144*SUM(AA91:AA126)</f>
        <v>38569650.441971995</v>
      </c>
      <c r="AC144" s="278">
        <v>0.75270000000000004</v>
      </c>
      <c r="AD144" s="35">
        <f>AC144*SUM(AC91:AC126)</f>
        <v>38604032.122032002</v>
      </c>
      <c r="AE144" s="35"/>
    </row>
    <row r="145" spans="1:32">
      <c r="A145" s="24">
        <v>137</v>
      </c>
      <c r="D145" s="277" t="s">
        <v>1881</v>
      </c>
      <c r="E145" s="278">
        <v>0.75060000000000004</v>
      </c>
      <c r="F145" s="35">
        <f>SUM(E127:E129)*E145</f>
        <v>46307269.400057994</v>
      </c>
      <c r="G145" s="278">
        <v>0.74880000000000002</v>
      </c>
      <c r="H145" s="35">
        <f>SUM(G127:G129)*G145</f>
        <v>46177477.998911999</v>
      </c>
      <c r="I145" s="278">
        <v>0.74880000000000002</v>
      </c>
      <c r="J145" s="35">
        <f>SUM(I127:I129)*I145</f>
        <v>46072220.403456002</v>
      </c>
      <c r="K145" s="278">
        <v>0.74880000000000002</v>
      </c>
      <c r="L145" s="35">
        <f>SUM(K127:K129)*K145</f>
        <v>46525246.979328007</v>
      </c>
      <c r="M145" s="278">
        <v>0.74880000000000002</v>
      </c>
      <c r="N145" s="35">
        <f>SUM(M127:M129)*M145</f>
        <v>46767966.875136003</v>
      </c>
      <c r="O145" s="278">
        <v>0.74880000000000002</v>
      </c>
      <c r="P145" s="35">
        <f>SUM(O127:O129)*O145</f>
        <v>47977548.046272002</v>
      </c>
      <c r="Q145" s="278">
        <v>0.74880000000000002</v>
      </c>
      <c r="R145" s="35">
        <f>SUM(Q127:Q129)*Q145</f>
        <v>48342884.526143998</v>
      </c>
      <c r="S145" s="278">
        <v>0.74880000000000002</v>
      </c>
      <c r="T145" s="35">
        <f>SUM(S127:S129)*S145</f>
        <v>48602878.429247998</v>
      </c>
      <c r="U145" s="278">
        <v>0.74880000000000002</v>
      </c>
      <c r="V145" s="35">
        <f>SUM(U127:U129)*U145</f>
        <v>48809475.823679999</v>
      </c>
      <c r="W145" s="278">
        <v>0.74880000000000002</v>
      </c>
      <c r="X145" s="35">
        <f>SUM(W127:W129)*W145</f>
        <v>49056376.097663999</v>
      </c>
      <c r="Y145" s="278">
        <v>0.74880000000000002</v>
      </c>
      <c r="Z145" s="35">
        <f>SUM(Y127:Y129)*Y145</f>
        <v>49276538.423424006</v>
      </c>
      <c r="AA145" s="278">
        <v>0.74880000000000002</v>
      </c>
      <c r="AB145" s="35">
        <f>SUM(AA127:AA129)*AA145</f>
        <v>49694333.457599998</v>
      </c>
      <c r="AC145" s="278">
        <v>0.74880000000000002</v>
      </c>
      <c r="AD145" s="35">
        <f>SUM(AC127:AC129)*AC145</f>
        <v>49914492.922944002</v>
      </c>
    </row>
    <row r="146" spans="1:32">
      <c r="A146" s="24">
        <v>138</v>
      </c>
      <c r="F146" s="35"/>
      <c r="H146" s="35"/>
      <c r="J146" s="35"/>
      <c r="L146" s="35"/>
      <c r="N146" s="35"/>
      <c r="P146" s="35"/>
      <c r="R146" s="35"/>
      <c r="T146" s="35"/>
      <c r="V146" s="35"/>
      <c r="X146" s="35"/>
      <c r="Z146" s="35"/>
      <c r="AB146" s="35"/>
      <c r="AD146" s="35"/>
    </row>
    <row r="147" spans="1:32">
      <c r="A147" s="24">
        <v>139</v>
      </c>
      <c r="D147" s="277" t="s">
        <v>1882</v>
      </c>
      <c r="F147" s="35">
        <f>SUM(F143:F145)</f>
        <v>660888518.21496022</v>
      </c>
      <c r="H147" s="35">
        <f>SUM(H143:H145)</f>
        <v>662173865.97269809</v>
      </c>
      <c r="J147" s="35">
        <f>SUM(J143:J145)</f>
        <v>663291752.11052608</v>
      </c>
      <c r="L147" s="35">
        <f>SUM(L143:L145)</f>
        <v>665810152.95038795</v>
      </c>
      <c r="N147" s="35">
        <f>SUM(N143:N145)</f>
        <v>668354555.40000904</v>
      </c>
      <c r="P147" s="35">
        <f>SUM(P143:P145)</f>
        <v>670538325.1225481</v>
      </c>
      <c r="R147" s="35">
        <f>SUM(R143:R145)</f>
        <v>672267710.12868488</v>
      </c>
      <c r="T147" s="35">
        <f>SUM(T143:T145)</f>
        <v>675551031.29448807</v>
      </c>
      <c r="V147" s="35">
        <f>SUM(V143:V145)</f>
        <v>686147649.98506498</v>
      </c>
      <c r="X147" s="35">
        <f>SUM(X143:X145)</f>
        <v>689533481.28427577</v>
      </c>
      <c r="Z147" s="35">
        <f>SUM(Z143:Z145)</f>
        <v>695246734.36960173</v>
      </c>
      <c r="AB147" s="35">
        <f>SUM(AB143:AB145)</f>
        <v>696964693.38957179</v>
      </c>
      <c r="AD147" s="35">
        <f>SUM(AD143:AD145)</f>
        <v>702891542.32497597</v>
      </c>
      <c r="AE147" s="4" t="s">
        <v>1890</v>
      </c>
      <c r="AF147" s="279">
        <f t="shared" ref="AF147" si="13">+(F147+AD147+(+H147+J147+L147+N147+P147+R147+T147+V147+X147+Z147+AB147)*2)/24</f>
        <v>677314165.18981874</v>
      </c>
    </row>
    <row r="148" spans="1:32">
      <c r="A148" s="24">
        <v>140</v>
      </c>
      <c r="AB148" s="35"/>
      <c r="AD148" s="35"/>
    </row>
    <row r="149" spans="1:32">
      <c r="A149" s="24">
        <v>141</v>
      </c>
      <c r="D149" s="277" t="s">
        <v>1879</v>
      </c>
      <c r="F149" s="35">
        <f>F89</f>
        <v>304692694.86999989</v>
      </c>
      <c r="H149" s="35">
        <f>H89</f>
        <v>309480837.00000012</v>
      </c>
      <c r="J149" s="35">
        <f>J89</f>
        <v>310705295.72999996</v>
      </c>
      <c r="L149" s="35">
        <f>L89</f>
        <v>311239204.5999999</v>
      </c>
      <c r="N149" s="35">
        <f>N89</f>
        <v>312471439.2100001</v>
      </c>
      <c r="P149" s="35">
        <f>P89</f>
        <v>313749995.52000004</v>
      </c>
      <c r="R149" s="35">
        <f>R89</f>
        <v>314596173.39999992</v>
      </c>
      <c r="T149" s="35">
        <f>T89</f>
        <v>315768871.25</v>
      </c>
      <c r="V149" s="35">
        <f>V89</f>
        <v>316875748.73000002</v>
      </c>
      <c r="X149" s="35">
        <f>X89</f>
        <v>317897034.14999998</v>
      </c>
      <c r="Z149" s="35">
        <f>Z89</f>
        <v>319107740.81999993</v>
      </c>
      <c r="AB149" s="35">
        <f>AB89</f>
        <v>320289045.50000006</v>
      </c>
      <c r="AD149" s="35">
        <f>AD89</f>
        <v>321296055.43999994</v>
      </c>
    </row>
    <row r="150" spans="1:32">
      <c r="A150" s="24">
        <v>142</v>
      </c>
      <c r="D150" s="277" t="s">
        <v>1880</v>
      </c>
      <c r="F150" s="35">
        <f>E144*SUM(F91:F126)</f>
        <v>14121417.833711002</v>
      </c>
      <c r="H150" s="35">
        <f>G144*SUM(H91:H126)</f>
        <v>14224595.436597006</v>
      </c>
      <c r="J150" s="35">
        <f>I144*SUM(J91:J126)</f>
        <v>14447222.516688002</v>
      </c>
      <c r="L150" s="35">
        <f>K144*SUM(L91:L126)</f>
        <v>14637791.862915</v>
      </c>
      <c r="N150" s="35">
        <f>M144*SUM(N91:N126)</f>
        <v>14814580.491516005</v>
      </c>
      <c r="P150" s="35">
        <f>O144*SUM(P91:P126)</f>
        <v>15036871.227612006</v>
      </c>
      <c r="R150" s="35">
        <f>Q144*SUM(R91:R126)</f>
        <v>15244430.909643</v>
      </c>
      <c r="T150" s="35">
        <f>S144*SUM(T91:T126)</f>
        <v>15454995.979761003</v>
      </c>
      <c r="V150" s="35">
        <f>U144*SUM(V91:V126)</f>
        <v>15669776.982795002</v>
      </c>
      <c r="X150" s="35">
        <f>W144*SUM(X91:X126)</f>
        <v>15888759.888416998</v>
      </c>
      <c r="Z150" s="35">
        <f>Y144*SUM(Z91:Z126)</f>
        <v>16100583.111639</v>
      </c>
      <c r="AB150" s="35">
        <f>AA144*SUM(AB91:AB126)</f>
        <v>16312009.759812003</v>
      </c>
      <c r="AD150" s="35">
        <f>AC144*SUM(AD91:AD126)</f>
        <v>16523491.558314003</v>
      </c>
    </row>
    <row r="151" spans="1:32">
      <c r="A151" s="24">
        <v>143</v>
      </c>
      <c r="D151" s="277" t="s">
        <v>1881</v>
      </c>
      <c r="F151" s="35">
        <f>SUM(F127:F129)*E145</f>
        <v>15427375.389683999</v>
      </c>
      <c r="H151" s="35">
        <f>SUM(H127:H129)*G145</f>
        <v>15446618.853120003</v>
      </c>
      <c r="J151" s="35">
        <f>SUM(J127:J129)*I145</f>
        <v>15396820.792703999</v>
      </c>
      <c r="L151" s="35">
        <f>SUM(L127:L129)*K145</f>
        <v>15451459.508160001</v>
      </c>
      <c r="N151" s="35">
        <f>SUM(N127:N129)*M145</f>
        <v>15484674.389184</v>
      </c>
      <c r="P151" s="35">
        <f>SUM(P127:P129)*O145</f>
        <v>15537581.676863998</v>
      </c>
      <c r="R151" s="35">
        <f>SUM(R127:R129)*Q145</f>
        <v>15531147.418176003</v>
      </c>
      <c r="T151" s="35">
        <f>SUM(T127:T129)*S145</f>
        <v>15599187.90144</v>
      </c>
      <c r="V151" s="35">
        <f>SUM(V127:V129)*U145</f>
        <v>15696758.540735999</v>
      </c>
      <c r="X151" s="35">
        <f>SUM(X127:X129)*W145</f>
        <v>15667734.633408001</v>
      </c>
      <c r="Z151" s="35">
        <f>SUM(Z127:Z129)*Y145</f>
        <v>15648284.089151999</v>
      </c>
      <c r="AB151" s="35">
        <f>SUM(AB127:AB129)*AA145</f>
        <v>15705717.745536</v>
      </c>
      <c r="AD151" s="35">
        <f>SUM(AD127:AD129)*AC145</f>
        <v>15765501.735360002</v>
      </c>
    </row>
    <row r="152" spans="1:32">
      <c r="A152" s="24">
        <v>144</v>
      </c>
      <c r="F152" s="35"/>
      <c r="H152" s="35"/>
      <c r="J152" s="35"/>
      <c r="L152" s="35"/>
      <c r="N152" s="35"/>
      <c r="P152" s="35"/>
      <c r="R152" s="35"/>
      <c r="T152" s="35"/>
      <c r="V152" s="35"/>
      <c r="X152" s="35"/>
      <c r="Z152" s="35"/>
      <c r="AB152" s="35"/>
      <c r="AD152" s="35"/>
    </row>
    <row r="153" spans="1:32">
      <c r="A153" s="24">
        <v>145</v>
      </c>
      <c r="D153" s="277" t="s">
        <v>1883</v>
      </c>
      <c r="F153" s="35">
        <f>SUM(F149:F151)</f>
        <v>334241488.09339494</v>
      </c>
      <c r="H153" s="35">
        <f>SUM(H149:H151)</f>
        <v>339152051.28971714</v>
      </c>
      <c r="J153" s="35">
        <f>SUM(J149:J151)</f>
        <v>340549339.03939193</v>
      </c>
      <c r="L153" s="35">
        <f>SUM(L149:L151)</f>
        <v>341328455.97107488</v>
      </c>
      <c r="N153" s="35">
        <f>SUM(N149:N151)</f>
        <v>342770694.09070009</v>
      </c>
      <c r="P153" s="35">
        <f>SUM(P149:P151)</f>
        <v>344324448.42447603</v>
      </c>
      <c r="R153" s="35">
        <f>SUM(R149:R151)</f>
        <v>345371751.72781891</v>
      </c>
      <c r="T153" s="35">
        <f>SUM(T149:T151)</f>
        <v>346823055.13120103</v>
      </c>
      <c r="V153" s="35">
        <f>SUM(V149:V151)</f>
        <v>348242284.25353104</v>
      </c>
      <c r="X153" s="35">
        <f>SUM(X149:X151)</f>
        <v>349453528.67182499</v>
      </c>
      <c r="Z153" s="35">
        <f>SUM(Z149:Z151)</f>
        <v>350856608.02079093</v>
      </c>
      <c r="AB153" s="35">
        <f>SUM(AB149:AB151)</f>
        <v>352306773.00534809</v>
      </c>
      <c r="AD153" s="35">
        <f>SUM(AD149:AD151)</f>
        <v>353585048.73367399</v>
      </c>
      <c r="AE153" s="4" t="s">
        <v>1891</v>
      </c>
      <c r="AF153" s="279">
        <f t="shared" ref="AF153" si="14">+(F153+AD153+(+H153+J153+L153+N153+P153+R153+T153+V153+X153+Z153+AB153)*2)/24</f>
        <v>345424354.83661753</v>
      </c>
    </row>
  </sheetData>
  <mergeCells count="22">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 ref="B131:C131"/>
    <mergeCell ref="B135:C135"/>
    <mergeCell ref="A5:G5"/>
    <mergeCell ref="A1:G1"/>
    <mergeCell ref="A2:G2"/>
    <mergeCell ref="A3:G3"/>
    <mergeCell ref="A4:G4"/>
  </mergeCells>
  <printOptions horizontalCentered="1"/>
  <pageMargins left="0.7" right="0.7" top="0.75" bottom="0.75" header="0.3" footer="0.3"/>
  <pageSetup scale="52" orientation="landscape" r:id="rId1"/>
  <headerFooter scaleWithDoc="0" alignWithMargins="0">
    <oddHeader>&amp;RPage &amp;P of &amp;N</oddHeader>
    <oddFooter>&amp;LElectronic Tab Name:&amp;A&amp;R&amp;"Times New Roman,Regular"&amp;9 26678.897\4829-5163-7600.v1</oddFooter>
  </headerFooter>
  <rowBreaks count="1" manualBreakCount="1">
    <brk id="54" max="16383" man="1"/>
  </rowBreaks>
  <colBreaks count="4" manualBreakCount="4">
    <brk id="7" max="1048575" man="1"/>
    <brk id="14" max="1048575" man="1"/>
    <brk id="22" max="1048575" man="1"/>
    <brk id="2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D61"/>
  <sheetViews>
    <sheetView view="pageBreakPreview" zoomScale="60" zoomScaleNormal="100" workbookViewId="0">
      <selection activeCell="B27" sqref="B27"/>
    </sheetView>
  </sheetViews>
  <sheetFormatPr defaultColWidth="9.140625" defaultRowHeight="15.75"/>
  <cols>
    <col min="1" max="1" width="9.42578125" style="24" bestFit="1" customWidth="1"/>
    <col min="2" max="2" width="22.140625" style="4" bestFit="1" customWidth="1"/>
    <col min="3" max="3" width="9.140625" style="4"/>
    <col min="4" max="4" width="4.5703125" style="4" customWidth="1"/>
    <col min="5" max="9" width="9.140625" style="4"/>
    <col min="10" max="10" width="21.28515625" style="4" bestFit="1" customWidth="1"/>
    <col min="11" max="12" width="20.42578125" style="4" bestFit="1" customWidth="1"/>
    <col min="13" max="13" width="21.85546875" style="4" bestFit="1" customWidth="1"/>
    <col min="14" max="14" width="20.42578125" style="4" bestFit="1" customWidth="1"/>
    <col min="15" max="15" width="19.85546875" style="4" bestFit="1" customWidth="1"/>
    <col min="16" max="16" width="21.28515625" style="4" bestFit="1" customWidth="1"/>
    <col min="17" max="18" width="20.42578125" style="4" bestFit="1" customWidth="1"/>
    <col min="19" max="19" width="20.5703125" style="4" bestFit="1" customWidth="1"/>
    <col min="20" max="21" width="19.85546875" style="4" bestFit="1" customWidth="1"/>
    <col min="22" max="22" width="20.42578125" style="4" bestFit="1" customWidth="1"/>
    <col min="23" max="23" width="19.85546875" style="4" bestFit="1" customWidth="1"/>
    <col min="24" max="24" width="20.42578125" style="4" bestFit="1" customWidth="1"/>
    <col min="25" max="25" width="20.5703125" style="4" bestFit="1" customWidth="1"/>
    <col min="26" max="27" width="20.42578125" style="4" bestFit="1" customWidth="1"/>
    <col min="28" max="28" width="20.5703125" style="4" bestFit="1" customWidth="1"/>
    <col min="29" max="30" width="20.42578125" style="4" bestFit="1" customWidth="1"/>
    <col min="31" max="31" width="20.5703125" style="4" bestFit="1" customWidth="1"/>
    <col min="32" max="32" width="19.42578125" style="4" bestFit="1" customWidth="1"/>
    <col min="33" max="34" width="19.85546875" style="4" bestFit="1" customWidth="1"/>
    <col min="35" max="36" width="20.42578125" style="4" bestFit="1" customWidth="1"/>
    <col min="37" max="37" width="21.85546875" style="4" bestFit="1" customWidth="1"/>
    <col min="38" max="38" width="19.85546875" style="4" bestFit="1" customWidth="1"/>
    <col min="39" max="39" width="20.42578125" style="4" bestFit="1" customWidth="1"/>
    <col min="40" max="40" width="21.28515625" style="4" bestFit="1" customWidth="1"/>
    <col min="41" max="41" width="20.42578125" style="4" bestFit="1" customWidth="1"/>
    <col min="42" max="42" width="19.85546875" style="4" bestFit="1" customWidth="1"/>
    <col min="43" max="43" width="21.28515625" style="4" bestFit="1" customWidth="1"/>
    <col min="44" max="44" width="19.85546875" style="4" bestFit="1" customWidth="1"/>
    <col min="45" max="45" width="19.42578125" style="4" bestFit="1" customWidth="1"/>
    <col min="46" max="46" width="21.85546875" style="4" bestFit="1" customWidth="1"/>
    <col min="47" max="47" width="20.42578125" style="4" bestFit="1" customWidth="1"/>
    <col min="48" max="48" width="19.85546875" style="4" bestFit="1" customWidth="1"/>
    <col min="49" max="49" width="20.5703125" style="4" bestFit="1" customWidth="1"/>
    <col min="50" max="50" width="17.5703125" style="4" bestFit="1" customWidth="1"/>
    <col min="51" max="51" width="16.5703125" style="4" customWidth="1"/>
    <col min="52" max="16384" width="9.140625" style="4"/>
  </cols>
  <sheetData>
    <row r="1" spans="1:51">
      <c r="E1" s="1244" t="s">
        <v>53</v>
      </c>
      <c r="F1" s="1244"/>
      <c r="G1" s="1244"/>
      <c r="H1" s="1244"/>
      <c r="I1" s="1244"/>
      <c r="J1" s="1244"/>
      <c r="K1" s="1244"/>
      <c r="R1" s="1244" t="s">
        <v>53</v>
      </c>
      <c r="S1" s="1244"/>
      <c r="T1" s="1244"/>
      <c r="U1" s="1244"/>
      <c r="V1" s="3"/>
      <c r="W1" s="3"/>
      <c r="X1" s="3"/>
      <c r="Y1" s="3"/>
      <c r="AB1" s="1244" t="s">
        <v>53</v>
      </c>
      <c r="AC1" s="1244"/>
      <c r="AD1" s="1244"/>
      <c r="AE1" s="1244"/>
      <c r="AF1" s="3"/>
      <c r="AG1" s="3"/>
      <c r="AK1" s="1244" t="s">
        <v>53</v>
      </c>
      <c r="AL1" s="1244"/>
      <c r="AM1" s="1244"/>
      <c r="AN1" s="1244"/>
      <c r="AO1" s="1244"/>
      <c r="AU1" s="1244" t="s">
        <v>53</v>
      </c>
      <c r="AV1" s="1244"/>
      <c r="AW1" s="1244"/>
      <c r="AX1" s="1244"/>
      <c r="AY1" s="1244"/>
    </row>
    <row r="2" spans="1:51">
      <c r="E2" s="6"/>
      <c r="F2" s="1244" t="s">
        <v>1659</v>
      </c>
      <c r="G2" s="1244"/>
      <c r="H2" s="1244"/>
      <c r="I2" s="1244"/>
      <c r="J2" s="1244"/>
      <c r="K2" s="6"/>
      <c r="R2" s="1244" t="s">
        <v>1659</v>
      </c>
      <c r="S2" s="1244"/>
      <c r="T2" s="1244"/>
      <c r="U2" s="1244"/>
      <c r="V2" s="3"/>
      <c r="W2" s="3"/>
      <c r="X2" s="3"/>
      <c r="Y2" s="6"/>
      <c r="AA2" s="6"/>
      <c r="AB2" s="1244" t="s">
        <v>1659</v>
      </c>
      <c r="AC2" s="1244"/>
      <c r="AD2" s="1244"/>
      <c r="AE2" s="1244"/>
      <c r="AF2" s="3"/>
      <c r="AG2" s="6"/>
      <c r="AK2" s="1244" t="s">
        <v>1659</v>
      </c>
      <c r="AL2" s="1244"/>
      <c r="AM2" s="1244"/>
      <c r="AN2" s="1244"/>
      <c r="AO2" s="1244"/>
      <c r="AS2" s="6"/>
      <c r="AU2" s="1244" t="s">
        <v>1659</v>
      </c>
      <c r="AV2" s="1244"/>
      <c r="AW2" s="1244"/>
      <c r="AX2" s="1244"/>
      <c r="AY2" s="1244"/>
    </row>
    <row r="3" spans="1:51">
      <c r="E3" s="6"/>
      <c r="F3" s="1244" t="s">
        <v>1664</v>
      </c>
      <c r="G3" s="1244"/>
      <c r="H3" s="1244"/>
      <c r="I3" s="1244"/>
      <c r="J3" s="1244"/>
      <c r="K3" s="6"/>
      <c r="R3" s="1244" t="s">
        <v>1664</v>
      </c>
      <c r="S3" s="1244"/>
      <c r="T3" s="1244"/>
      <c r="U3" s="1244"/>
      <c r="V3" s="3"/>
      <c r="W3" s="3"/>
      <c r="X3" s="3"/>
      <c r="Y3" s="6"/>
      <c r="AA3" s="6"/>
      <c r="AB3" s="1244" t="s">
        <v>1664</v>
      </c>
      <c r="AC3" s="1244"/>
      <c r="AD3" s="1244"/>
      <c r="AE3" s="1244"/>
      <c r="AF3" s="3"/>
      <c r="AG3" s="6"/>
      <c r="AK3" s="1244" t="s">
        <v>1664</v>
      </c>
      <c r="AL3" s="1244"/>
      <c r="AM3" s="1244"/>
      <c r="AN3" s="1244"/>
      <c r="AO3" s="1244"/>
      <c r="AS3" s="6"/>
      <c r="AU3" s="1244" t="s">
        <v>1664</v>
      </c>
      <c r="AV3" s="1244"/>
      <c r="AW3" s="1244"/>
      <c r="AX3" s="1244"/>
      <c r="AY3" s="1244"/>
    </row>
    <row r="4" spans="1:51">
      <c r="E4" s="1244" t="s">
        <v>2019</v>
      </c>
      <c r="F4" s="1244"/>
      <c r="G4" s="1244"/>
      <c r="H4" s="1244"/>
      <c r="I4" s="1244"/>
      <c r="J4" s="1244"/>
      <c r="K4" s="1244"/>
      <c r="R4" s="1244" t="s">
        <v>2019</v>
      </c>
      <c r="S4" s="1244"/>
      <c r="T4" s="1244"/>
      <c r="U4" s="1244"/>
      <c r="V4" s="3"/>
      <c r="W4" s="3"/>
      <c r="X4" s="3"/>
      <c r="Y4" s="3"/>
      <c r="AB4" s="1244" t="s">
        <v>2019</v>
      </c>
      <c r="AC4" s="1244"/>
      <c r="AD4" s="1244"/>
      <c r="AE4" s="1244"/>
      <c r="AF4" s="3"/>
      <c r="AG4" s="3"/>
      <c r="AK4" s="1244" t="s">
        <v>2019</v>
      </c>
      <c r="AL4" s="1244"/>
      <c r="AM4" s="1244"/>
      <c r="AN4" s="1244"/>
      <c r="AO4" s="1244"/>
      <c r="AU4" s="1244" t="s">
        <v>2019</v>
      </c>
      <c r="AV4" s="1244"/>
      <c r="AW4" s="1244"/>
      <c r="AX4" s="1244"/>
      <c r="AY4" s="1244"/>
    </row>
    <row r="5" spans="1:51">
      <c r="F5" s="1244" t="s">
        <v>971</v>
      </c>
      <c r="G5" s="1244"/>
      <c r="H5" s="1244"/>
      <c r="I5" s="1244"/>
      <c r="J5" s="1244"/>
      <c r="R5" s="1244" t="s">
        <v>971</v>
      </c>
      <c r="S5" s="1244"/>
      <c r="T5" s="1244"/>
      <c r="U5" s="1244"/>
      <c r="V5" s="3"/>
      <c r="W5" s="3"/>
      <c r="X5" s="3"/>
      <c r="AB5" s="1244" t="s">
        <v>971</v>
      </c>
      <c r="AC5" s="1244"/>
      <c r="AD5" s="1244"/>
      <c r="AE5" s="1244"/>
      <c r="AF5" s="3"/>
      <c r="AK5" s="1244" t="s">
        <v>971</v>
      </c>
      <c r="AL5" s="1244"/>
      <c r="AM5" s="1244"/>
      <c r="AN5" s="1244"/>
      <c r="AO5" s="1244"/>
      <c r="AU5" s="1244" t="s">
        <v>971</v>
      </c>
      <c r="AV5" s="1244"/>
      <c r="AW5" s="1244"/>
      <c r="AX5" s="1244"/>
      <c r="AY5" s="1244"/>
    </row>
    <row r="8" spans="1:51" s="24" customFormat="1" ht="16.5" thickBot="1">
      <c r="A8" s="24" t="s">
        <v>879</v>
      </c>
      <c r="B8" s="24" t="s">
        <v>1689</v>
      </c>
      <c r="C8" s="24" t="s">
        <v>1687</v>
      </c>
      <c r="E8" s="24" t="s">
        <v>1688</v>
      </c>
      <c r="F8" s="24" t="s">
        <v>1691</v>
      </c>
      <c r="G8" s="24" t="s">
        <v>1692</v>
      </c>
      <c r="H8" s="24" t="s">
        <v>1701</v>
      </c>
      <c r="I8" s="24" t="s">
        <v>1702</v>
      </c>
      <c r="J8" s="24" t="s">
        <v>1703</v>
      </c>
      <c r="K8" s="24" t="s">
        <v>1704</v>
      </c>
      <c r="L8" s="24" t="s">
        <v>1705</v>
      </c>
      <c r="M8" s="24" t="s">
        <v>1706</v>
      </c>
      <c r="N8" s="24" t="s">
        <v>1896</v>
      </c>
      <c r="O8" s="24" t="s">
        <v>1708</v>
      </c>
      <c r="P8" s="24" t="s">
        <v>1709</v>
      </c>
      <c r="Q8" s="24" t="s">
        <v>1710</v>
      </c>
      <c r="R8" s="24" t="s">
        <v>1984</v>
      </c>
      <c r="S8" s="24" t="s">
        <v>1985</v>
      </c>
      <c r="T8" s="24" t="s">
        <v>1986</v>
      </c>
      <c r="U8" s="24" t="s">
        <v>1987</v>
      </c>
      <c r="V8" s="24" t="s">
        <v>1988</v>
      </c>
      <c r="W8" s="24" t="s">
        <v>1989</v>
      </c>
      <c r="X8" s="24" t="s">
        <v>1990</v>
      </c>
      <c r="Y8" s="24" t="s">
        <v>1991</v>
      </c>
      <c r="Z8" s="24" t="s">
        <v>1992</v>
      </c>
      <c r="AA8" s="24" t="s">
        <v>1993</v>
      </c>
      <c r="AB8" s="24" t="s">
        <v>1994</v>
      </c>
      <c r="AC8" s="24" t="s">
        <v>1167</v>
      </c>
      <c r="AD8" s="24" t="s">
        <v>1995</v>
      </c>
      <c r="AE8" s="24" t="s">
        <v>1996</v>
      </c>
      <c r="AF8" s="24" t="s">
        <v>1997</v>
      </c>
      <c r="AG8" s="24" t="s">
        <v>1998</v>
      </c>
      <c r="AH8" s="24" t="s">
        <v>2002</v>
      </c>
      <c r="AI8" s="24" t="s">
        <v>2003</v>
      </c>
      <c r="AJ8" s="24" t="s">
        <v>2004</v>
      </c>
      <c r="AK8" s="24" t="s">
        <v>2005</v>
      </c>
      <c r="AL8" s="24" t="s">
        <v>2006</v>
      </c>
      <c r="AM8" s="24" t="s">
        <v>2007</v>
      </c>
      <c r="AN8" s="24" t="s">
        <v>2008</v>
      </c>
      <c r="AO8" s="24" t="s">
        <v>2009</v>
      </c>
      <c r="AP8" s="24" t="s">
        <v>2010</v>
      </c>
      <c r="AQ8" s="24" t="s">
        <v>2011</v>
      </c>
      <c r="AR8" s="24" t="s">
        <v>2012</v>
      </c>
      <c r="AS8" s="24" t="s">
        <v>2013</v>
      </c>
      <c r="AT8" s="24" t="s">
        <v>2014</v>
      </c>
      <c r="AU8" s="24" t="s">
        <v>1831</v>
      </c>
      <c r="AV8" s="24" t="s">
        <v>2015</v>
      </c>
      <c r="AW8" s="24" t="s">
        <v>2016</v>
      </c>
      <c r="AX8" s="24" t="s">
        <v>2017</v>
      </c>
      <c r="AY8" s="24" t="s">
        <v>2018</v>
      </c>
    </row>
    <row r="9" spans="1:51">
      <c r="A9" s="24">
        <v>1</v>
      </c>
      <c r="B9" s="1261" t="s">
        <v>2083</v>
      </c>
      <c r="C9" s="1262"/>
      <c r="D9" s="1262"/>
      <c r="E9" s="1263"/>
      <c r="F9" s="1273" t="s">
        <v>383</v>
      </c>
      <c r="G9" s="1273"/>
      <c r="H9" s="1273"/>
      <c r="I9" s="1274"/>
      <c r="J9" s="280" t="s">
        <v>1167</v>
      </c>
      <c r="K9" s="281" t="s">
        <v>1892</v>
      </c>
      <c r="L9" s="282" t="s">
        <v>1893</v>
      </c>
      <c r="M9" s="280" t="s">
        <v>1167</v>
      </c>
      <c r="N9" s="281" t="s">
        <v>1892</v>
      </c>
      <c r="O9" s="282" t="s">
        <v>1893</v>
      </c>
      <c r="P9" s="280" t="s">
        <v>1167</v>
      </c>
      <c r="Q9" s="281" t="s">
        <v>1892</v>
      </c>
      <c r="R9" s="282" t="s">
        <v>1893</v>
      </c>
      <c r="S9" s="280" t="s">
        <v>1167</v>
      </c>
      <c r="T9" s="281" t="s">
        <v>1892</v>
      </c>
      <c r="U9" s="282" t="s">
        <v>1893</v>
      </c>
      <c r="V9" s="280" t="s">
        <v>1167</v>
      </c>
      <c r="W9" s="281" t="s">
        <v>1892</v>
      </c>
      <c r="X9" s="282" t="s">
        <v>1893</v>
      </c>
      <c r="Y9" s="280" t="s">
        <v>1167</v>
      </c>
      <c r="Z9" s="281" t="s">
        <v>1892</v>
      </c>
      <c r="AA9" s="282" t="s">
        <v>1893</v>
      </c>
      <c r="AB9" s="280" t="s">
        <v>1167</v>
      </c>
      <c r="AC9" s="281" t="s">
        <v>1892</v>
      </c>
      <c r="AD9" s="282" t="s">
        <v>1893</v>
      </c>
      <c r="AE9" s="280" t="s">
        <v>1167</v>
      </c>
      <c r="AF9" s="281" t="s">
        <v>1892</v>
      </c>
      <c r="AG9" s="282" t="s">
        <v>1893</v>
      </c>
      <c r="AH9" s="280" t="s">
        <v>1167</v>
      </c>
      <c r="AI9" s="281" t="s">
        <v>1892</v>
      </c>
      <c r="AJ9" s="282" t="s">
        <v>1893</v>
      </c>
      <c r="AK9" s="280" t="s">
        <v>1167</v>
      </c>
      <c r="AL9" s="281" t="s">
        <v>1892</v>
      </c>
      <c r="AM9" s="282" t="s">
        <v>1893</v>
      </c>
      <c r="AN9" s="280" t="s">
        <v>1167</v>
      </c>
      <c r="AO9" s="281" t="s">
        <v>1892</v>
      </c>
      <c r="AP9" s="282" t="s">
        <v>1893</v>
      </c>
      <c r="AQ9" s="280" t="s">
        <v>1167</v>
      </c>
      <c r="AR9" s="281" t="s">
        <v>1892</v>
      </c>
      <c r="AS9" s="282" t="s">
        <v>1893</v>
      </c>
      <c r="AT9" s="280" t="s">
        <v>1167</v>
      </c>
      <c r="AU9" s="281" t="s">
        <v>1892</v>
      </c>
      <c r="AV9" s="282" t="s">
        <v>1893</v>
      </c>
      <c r="AW9" s="283" t="s">
        <v>1934</v>
      </c>
      <c r="AX9" s="283" t="s">
        <v>101</v>
      </c>
      <c r="AY9" s="283" t="s">
        <v>75</v>
      </c>
    </row>
    <row r="10" spans="1:51">
      <c r="A10" s="24">
        <v>2</v>
      </c>
      <c r="B10" s="1264"/>
      <c r="C10" s="1265"/>
      <c r="D10" s="1265"/>
      <c r="E10" s="1266"/>
      <c r="F10" s="1275" t="s">
        <v>384</v>
      </c>
      <c r="G10" s="1275"/>
      <c r="H10" s="1275"/>
      <c r="I10" s="1276"/>
      <c r="J10" s="284" t="s">
        <v>1894</v>
      </c>
      <c r="K10" s="285" t="s">
        <v>1894</v>
      </c>
      <c r="L10" s="286" t="s">
        <v>1894</v>
      </c>
      <c r="M10" s="284" t="s">
        <v>1895</v>
      </c>
      <c r="N10" s="285" t="s">
        <v>1895</v>
      </c>
      <c r="O10" s="286" t="s">
        <v>1895</v>
      </c>
      <c r="P10" s="284" t="s">
        <v>1895</v>
      </c>
      <c r="Q10" s="285" t="s">
        <v>1895</v>
      </c>
      <c r="R10" s="286" t="s">
        <v>1895</v>
      </c>
      <c r="S10" s="284" t="s">
        <v>1895</v>
      </c>
      <c r="T10" s="285" t="s">
        <v>1895</v>
      </c>
      <c r="U10" s="286" t="s">
        <v>1895</v>
      </c>
      <c r="V10" s="284" t="s">
        <v>1895</v>
      </c>
      <c r="W10" s="285" t="s">
        <v>1895</v>
      </c>
      <c r="X10" s="286" t="s">
        <v>1895</v>
      </c>
      <c r="Y10" s="284" t="s">
        <v>1895</v>
      </c>
      <c r="Z10" s="285" t="s">
        <v>1895</v>
      </c>
      <c r="AA10" s="286" t="s">
        <v>1895</v>
      </c>
      <c r="AB10" s="284" t="s">
        <v>1895</v>
      </c>
      <c r="AC10" s="285" t="s">
        <v>1895</v>
      </c>
      <c r="AD10" s="286" t="s">
        <v>1895</v>
      </c>
      <c r="AE10" s="284" t="s">
        <v>1895</v>
      </c>
      <c r="AF10" s="285" t="s">
        <v>1895</v>
      </c>
      <c r="AG10" s="286" t="s">
        <v>1895</v>
      </c>
      <c r="AH10" s="284" t="s">
        <v>1895</v>
      </c>
      <c r="AI10" s="285" t="s">
        <v>1895</v>
      </c>
      <c r="AJ10" s="286" t="s">
        <v>1895</v>
      </c>
      <c r="AK10" s="284" t="s">
        <v>1895</v>
      </c>
      <c r="AL10" s="285" t="s">
        <v>1895</v>
      </c>
      <c r="AM10" s="286" t="s">
        <v>1895</v>
      </c>
      <c r="AN10" s="284" t="s">
        <v>1895</v>
      </c>
      <c r="AO10" s="285" t="s">
        <v>1895</v>
      </c>
      <c r="AP10" s="286" t="s">
        <v>1895</v>
      </c>
      <c r="AQ10" s="284" t="s">
        <v>1895</v>
      </c>
      <c r="AR10" s="285" t="s">
        <v>1895</v>
      </c>
      <c r="AS10" s="286" t="s">
        <v>1895</v>
      </c>
      <c r="AT10" s="284" t="s">
        <v>1895</v>
      </c>
      <c r="AU10" s="285" t="s">
        <v>1895</v>
      </c>
      <c r="AV10" s="286" t="s">
        <v>1895</v>
      </c>
    </row>
    <row r="11" spans="1:51">
      <c r="A11" s="24">
        <v>3</v>
      </c>
      <c r="B11" s="1264"/>
      <c r="C11" s="1265"/>
      <c r="D11" s="1265"/>
      <c r="E11" s="1266"/>
      <c r="F11" s="1275" t="s">
        <v>385</v>
      </c>
      <c r="G11" s="1275"/>
      <c r="H11" s="1275"/>
      <c r="I11" s="1276"/>
      <c r="J11" s="284" t="s">
        <v>1896</v>
      </c>
      <c r="K11" s="285" t="s">
        <v>1896</v>
      </c>
      <c r="L11" s="286" t="s">
        <v>1896</v>
      </c>
      <c r="M11" s="284" t="s">
        <v>1896</v>
      </c>
      <c r="N11" s="285" t="s">
        <v>1896</v>
      </c>
      <c r="O11" s="286" t="s">
        <v>1896</v>
      </c>
      <c r="P11" s="284" t="s">
        <v>1896</v>
      </c>
      <c r="Q11" s="285" t="s">
        <v>1896</v>
      </c>
      <c r="R11" s="286" t="s">
        <v>1896</v>
      </c>
      <c r="S11" s="284" t="s">
        <v>1896</v>
      </c>
      <c r="T11" s="285" t="s">
        <v>1896</v>
      </c>
      <c r="U11" s="286" t="s">
        <v>1896</v>
      </c>
      <c r="V11" s="284" t="s">
        <v>1896</v>
      </c>
      <c r="W11" s="285" t="s">
        <v>1896</v>
      </c>
      <c r="X11" s="286" t="s">
        <v>1896</v>
      </c>
      <c r="Y11" s="284" t="s">
        <v>1896</v>
      </c>
      <c r="Z11" s="285" t="s">
        <v>1896</v>
      </c>
      <c r="AA11" s="286" t="s">
        <v>1896</v>
      </c>
      <c r="AB11" s="284" t="s">
        <v>1896</v>
      </c>
      <c r="AC11" s="285" t="s">
        <v>1896</v>
      </c>
      <c r="AD11" s="286" t="s">
        <v>1896</v>
      </c>
      <c r="AE11" s="284" t="s">
        <v>1896</v>
      </c>
      <c r="AF11" s="285" t="s">
        <v>1896</v>
      </c>
      <c r="AG11" s="286" t="s">
        <v>1896</v>
      </c>
      <c r="AH11" s="284" t="s">
        <v>1896</v>
      </c>
      <c r="AI11" s="285" t="s">
        <v>1896</v>
      </c>
      <c r="AJ11" s="286" t="s">
        <v>1896</v>
      </c>
      <c r="AK11" s="284" t="s">
        <v>1896</v>
      </c>
      <c r="AL11" s="285" t="s">
        <v>1896</v>
      </c>
      <c r="AM11" s="286" t="s">
        <v>1896</v>
      </c>
      <c r="AN11" s="284" t="s">
        <v>1896</v>
      </c>
      <c r="AO11" s="285" t="s">
        <v>1896</v>
      </c>
      <c r="AP11" s="286" t="s">
        <v>1896</v>
      </c>
      <c r="AQ11" s="284" t="s">
        <v>1896</v>
      </c>
      <c r="AR11" s="285" t="s">
        <v>1896</v>
      </c>
      <c r="AS11" s="286" t="s">
        <v>1896</v>
      </c>
      <c r="AT11" s="284" t="s">
        <v>1896</v>
      </c>
      <c r="AU11" s="285" t="s">
        <v>1896</v>
      </c>
      <c r="AV11" s="286" t="s">
        <v>1896</v>
      </c>
      <c r="AX11" s="283" t="s">
        <v>365</v>
      </c>
    </row>
    <row r="12" spans="1:51">
      <c r="A12" s="168">
        <v>4</v>
      </c>
      <c r="B12" s="1264"/>
      <c r="C12" s="1265"/>
      <c r="D12" s="1265"/>
      <c r="E12" s="1266"/>
      <c r="F12" s="1275" t="s">
        <v>386</v>
      </c>
      <c r="G12" s="1275"/>
      <c r="H12" s="1275"/>
      <c r="I12" s="1276"/>
      <c r="J12" s="284" t="s">
        <v>529</v>
      </c>
      <c r="K12" s="285" t="s">
        <v>529</v>
      </c>
      <c r="L12" s="286" t="s">
        <v>529</v>
      </c>
      <c r="M12" s="284" t="s">
        <v>615</v>
      </c>
      <c r="N12" s="285" t="s">
        <v>615</v>
      </c>
      <c r="O12" s="286" t="s">
        <v>615</v>
      </c>
      <c r="P12" s="284" t="s">
        <v>669</v>
      </c>
      <c r="Q12" s="285" t="s">
        <v>669</v>
      </c>
      <c r="R12" s="286" t="s">
        <v>669</v>
      </c>
      <c r="S12" s="284" t="s">
        <v>671</v>
      </c>
      <c r="T12" s="285" t="s">
        <v>671</v>
      </c>
      <c r="U12" s="286" t="s">
        <v>671</v>
      </c>
      <c r="V12" s="284" t="s">
        <v>1897</v>
      </c>
      <c r="W12" s="285" t="s">
        <v>1897</v>
      </c>
      <c r="X12" s="286" t="s">
        <v>1897</v>
      </c>
      <c r="Y12" s="284" t="s">
        <v>1898</v>
      </c>
      <c r="Z12" s="285" t="s">
        <v>1898</v>
      </c>
      <c r="AA12" s="286" t="s">
        <v>1898</v>
      </c>
      <c r="AB12" s="284" t="s">
        <v>1899</v>
      </c>
      <c r="AC12" s="285" t="s">
        <v>1899</v>
      </c>
      <c r="AD12" s="286" t="s">
        <v>1899</v>
      </c>
      <c r="AE12" s="284" t="s">
        <v>1900</v>
      </c>
      <c r="AF12" s="285" t="s">
        <v>1900</v>
      </c>
      <c r="AG12" s="286" t="s">
        <v>1900</v>
      </c>
      <c r="AH12" s="284" t="s">
        <v>406</v>
      </c>
      <c r="AI12" s="285" t="s">
        <v>406</v>
      </c>
      <c r="AJ12" s="286" t="s">
        <v>406</v>
      </c>
      <c r="AK12" s="284" t="s">
        <v>1901</v>
      </c>
      <c r="AL12" s="285" t="s">
        <v>1901</v>
      </c>
      <c r="AM12" s="286" t="s">
        <v>1901</v>
      </c>
      <c r="AN12" s="284" t="s">
        <v>1902</v>
      </c>
      <c r="AO12" s="285" t="s">
        <v>1902</v>
      </c>
      <c r="AP12" s="286" t="s">
        <v>1902</v>
      </c>
      <c r="AQ12" s="284" t="s">
        <v>1903</v>
      </c>
      <c r="AR12" s="285" t="s">
        <v>1903</v>
      </c>
      <c r="AS12" s="286" t="s">
        <v>1903</v>
      </c>
      <c r="AT12" s="284" t="s">
        <v>529</v>
      </c>
      <c r="AU12" s="285" t="s">
        <v>529</v>
      </c>
      <c r="AV12" s="286" t="s">
        <v>529</v>
      </c>
    </row>
    <row r="13" spans="1:51" ht="16.5" thickBot="1">
      <c r="A13" s="168">
        <v>5</v>
      </c>
      <c r="B13" s="1267"/>
      <c r="C13" s="1268"/>
      <c r="D13" s="1268"/>
      <c r="E13" s="1269"/>
      <c r="F13" s="1275" t="s">
        <v>387</v>
      </c>
      <c r="G13" s="1275"/>
      <c r="H13" s="1275"/>
      <c r="I13" s="1276"/>
      <c r="J13" s="284" t="s">
        <v>978</v>
      </c>
      <c r="K13" s="285" t="s">
        <v>978</v>
      </c>
      <c r="L13" s="286" t="s">
        <v>978</v>
      </c>
      <c r="M13" s="284" t="s">
        <v>978</v>
      </c>
      <c r="N13" s="285" t="s">
        <v>978</v>
      </c>
      <c r="O13" s="286" t="s">
        <v>978</v>
      </c>
      <c r="P13" s="284" t="s">
        <v>978</v>
      </c>
      <c r="Q13" s="285" t="s">
        <v>978</v>
      </c>
      <c r="R13" s="286" t="s">
        <v>978</v>
      </c>
      <c r="S13" s="284" t="s">
        <v>978</v>
      </c>
      <c r="T13" s="285" t="s">
        <v>978</v>
      </c>
      <c r="U13" s="286" t="s">
        <v>978</v>
      </c>
      <c r="V13" s="284" t="s">
        <v>978</v>
      </c>
      <c r="W13" s="285" t="s">
        <v>978</v>
      </c>
      <c r="X13" s="286" t="s">
        <v>978</v>
      </c>
      <c r="Y13" s="284" t="s">
        <v>978</v>
      </c>
      <c r="Z13" s="285" t="s">
        <v>978</v>
      </c>
      <c r="AA13" s="286" t="s">
        <v>978</v>
      </c>
      <c r="AB13" s="284" t="s">
        <v>978</v>
      </c>
      <c r="AC13" s="285" t="s">
        <v>978</v>
      </c>
      <c r="AD13" s="286" t="s">
        <v>978</v>
      </c>
      <c r="AE13" s="284" t="s">
        <v>978</v>
      </c>
      <c r="AF13" s="285" t="s">
        <v>978</v>
      </c>
      <c r="AG13" s="286" t="s">
        <v>978</v>
      </c>
      <c r="AH13" s="284" t="s">
        <v>978</v>
      </c>
      <c r="AI13" s="285" t="s">
        <v>978</v>
      </c>
      <c r="AJ13" s="286" t="s">
        <v>978</v>
      </c>
      <c r="AK13" s="284" t="s">
        <v>978</v>
      </c>
      <c r="AL13" s="285" t="s">
        <v>978</v>
      </c>
      <c r="AM13" s="286" t="s">
        <v>978</v>
      </c>
      <c r="AN13" s="284" t="s">
        <v>978</v>
      </c>
      <c r="AO13" s="285" t="s">
        <v>978</v>
      </c>
      <c r="AP13" s="286" t="s">
        <v>978</v>
      </c>
      <c r="AQ13" s="284" t="s">
        <v>978</v>
      </c>
      <c r="AR13" s="285" t="s">
        <v>978</v>
      </c>
      <c r="AS13" s="286" t="s">
        <v>978</v>
      </c>
      <c r="AT13" s="284" t="s">
        <v>978</v>
      </c>
      <c r="AU13" s="285" t="s">
        <v>978</v>
      </c>
      <c r="AV13" s="286" t="s">
        <v>978</v>
      </c>
    </row>
    <row r="14" spans="1:51">
      <c r="A14" s="168">
        <v>6</v>
      </c>
      <c r="B14" s="287"/>
      <c r="C14" s="288"/>
      <c r="D14" s="288"/>
      <c r="E14" s="288"/>
      <c r="F14" s="288"/>
      <c r="G14" s="288"/>
      <c r="H14" s="288"/>
      <c r="I14" s="289"/>
      <c r="J14" s="287"/>
      <c r="K14" s="288"/>
      <c r="L14" s="289"/>
      <c r="M14" s="287"/>
      <c r="N14" s="288"/>
      <c r="O14" s="289"/>
      <c r="P14" s="287"/>
      <c r="Q14" s="288"/>
      <c r="R14" s="289"/>
      <c r="S14" s="287"/>
      <c r="T14" s="288"/>
      <c r="U14" s="289"/>
      <c r="V14" s="287"/>
      <c r="W14" s="288"/>
      <c r="X14" s="289"/>
      <c r="Y14" s="287"/>
      <c r="Z14" s="288"/>
      <c r="AA14" s="289"/>
      <c r="AB14" s="287"/>
      <c r="AC14" s="288"/>
      <c r="AD14" s="289"/>
      <c r="AE14" s="287"/>
      <c r="AF14" s="288"/>
      <c r="AG14" s="289"/>
      <c r="AH14" s="287"/>
      <c r="AI14" s="288"/>
      <c r="AJ14" s="289"/>
      <c r="AK14" s="287"/>
      <c r="AL14" s="288"/>
      <c r="AM14" s="289"/>
      <c r="AN14" s="287"/>
      <c r="AO14" s="288"/>
      <c r="AP14" s="289"/>
      <c r="AQ14" s="287"/>
      <c r="AR14" s="288"/>
      <c r="AS14" s="289"/>
      <c r="AT14" s="287"/>
      <c r="AU14" s="288"/>
      <c r="AV14" s="289"/>
      <c r="AW14" s="289"/>
      <c r="AX14" s="289"/>
      <c r="AY14" s="289"/>
    </row>
    <row r="15" spans="1:51" ht="31.5">
      <c r="A15" s="168">
        <v>7</v>
      </c>
      <c r="B15" s="292"/>
      <c r="C15" s="293" t="s">
        <v>1904</v>
      </c>
      <c r="D15" s="293"/>
      <c r="E15" s="293" t="s">
        <v>1905</v>
      </c>
      <c r="F15" s="293" t="s">
        <v>1906</v>
      </c>
      <c r="G15" s="293" t="s">
        <v>1907</v>
      </c>
      <c r="H15" s="293" t="s">
        <v>1908</v>
      </c>
      <c r="I15" s="294" t="s">
        <v>1909</v>
      </c>
      <c r="J15" s="292"/>
      <c r="K15" s="295"/>
      <c r="L15" s="296"/>
      <c r="M15" s="292"/>
      <c r="N15" s="295"/>
      <c r="O15" s="296"/>
      <c r="P15" s="292"/>
      <c r="Q15" s="295"/>
      <c r="R15" s="296"/>
      <c r="S15" s="292"/>
      <c r="T15" s="295"/>
      <c r="U15" s="296"/>
      <c r="V15" s="292"/>
      <c r="W15" s="295"/>
      <c r="X15" s="296"/>
      <c r="Y15" s="292"/>
      <c r="Z15" s="295"/>
      <c r="AA15" s="296"/>
      <c r="AB15" s="292"/>
      <c r="AC15" s="295"/>
      <c r="AD15" s="296"/>
      <c r="AE15" s="292"/>
      <c r="AF15" s="295"/>
      <c r="AG15" s="296"/>
      <c r="AH15" s="292"/>
      <c r="AI15" s="295"/>
      <c r="AJ15" s="296"/>
      <c r="AK15" s="292"/>
      <c r="AL15" s="295"/>
      <c r="AM15" s="296"/>
      <c r="AN15" s="292"/>
      <c r="AO15" s="295"/>
      <c r="AP15" s="296"/>
      <c r="AQ15" s="292"/>
      <c r="AR15" s="295"/>
      <c r="AS15" s="296"/>
      <c r="AT15" s="292"/>
      <c r="AU15" s="295"/>
      <c r="AV15" s="296"/>
    </row>
    <row r="16" spans="1:51">
      <c r="A16" s="168">
        <v>8</v>
      </c>
      <c r="B16" s="1270" t="s">
        <v>1911</v>
      </c>
      <c r="C16" s="1271"/>
      <c r="D16" s="1271"/>
      <c r="E16" s="1271"/>
      <c r="F16" s="1271"/>
      <c r="G16" s="1271"/>
      <c r="H16" s="1271"/>
      <c r="I16" s="1272"/>
      <c r="J16" s="297"/>
      <c r="K16" s="298"/>
      <c r="L16" s="299"/>
      <c r="M16" s="297"/>
      <c r="N16" s="298"/>
      <c r="O16" s="299"/>
      <c r="P16" s="297"/>
      <c r="Q16" s="298"/>
      <c r="R16" s="299"/>
      <c r="S16" s="297"/>
      <c r="T16" s="298"/>
      <c r="U16" s="299"/>
      <c r="V16" s="297"/>
      <c r="W16" s="298"/>
      <c r="X16" s="299"/>
      <c r="Y16" s="297"/>
      <c r="Z16" s="298"/>
      <c r="AA16" s="299"/>
      <c r="AB16" s="297"/>
      <c r="AC16" s="298"/>
      <c r="AD16" s="299"/>
      <c r="AE16" s="297"/>
      <c r="AF16" s="298"/>
      <c r="AG16" s="299"/>
      <c r="AH16" s="297"/>
      <c r="AI16" s="298"/>
      <c r="AJ16" s="299"/>
      <c r="AK16" s="297"/>
      <c r="AL16" s="298"/>
      <c r="AM16" s="299"/>
      <c r="AN16" s="297"/>
      <c r="AO16" s="298"/>
      <c r="AP16" s="299"/>
      <c r="AQ16" s="297"/>
      <c r="AR16" s="298"/>
      <c r="AS16" s="299"/>
      <c r="AT16" s="297"/>
      <c r="AU16" s="298"/>
      <c r="AV16" s="299"/>
    </row>
    <row r="17" spans="1:56">
      <c r="A17" s="168">
        <v>9</v>
      </c>
      <c r="B17" s="290" t="s">
        <v>1912</v>
      </c>
      <c r="C17" s="285" t="s">
        <v>1170</v>
      </c>
      <c r="D17" s="285"/>
      <c r="E17" s="285" t="s">
        <v>1913</v>
      </c>
      <c r="F17" s="285" t="s">
        <v>817</v>
      </c>
      <c r="G17" s="285" t="s">
        <v>1914</v>
      </c>
      <c r="H17" s="285" t="s">
        <v>398</v>
      </c>
      <c r="I17" s="286" t="s">
        <v>398</v>
      </c>
      <c r="J17" s="297">
        <v>0</v>
      </c>
      <c r="K17" s="298">
        <v>0</v>
      </c>
      <c r="L17" s="299"/>
      <c r="M17" s="297">
        <v>0</v>
      </c>
      <c r="N17" s="298">
        <v>0</v>
      </c>
      <c r="O17" s="299"/>
      <c r="P17" s="297">
        <v>0</v>
      </c>
      <c r="Q17" s="298">
        <v>0</v>
      </c>
      <c r="R17" s="299"/>
      <c r="S17" s="297">
        <v>0</v>
      </c>
      <c r="T17" s="298">
        <v>0</v>
      </c>
      <c r="U17" s="299"/>
      <c r="V17" s="297">
        <v>0</v>
      </c>
      <c r="W17" s="298">
        <v>0</v>
      </c>
      <c r="X17" s="299"/>
      <c r="Y17" s="297">
        <v>0</v>
      </c>
      <c r="Z17" s="298">
        <v>0</v>
      </c>
      <c r="AA17" s="299"/>
      <c r="AB17" s="297">
        <v>0</v>
      </c>
      <c r="AC17" s="298">
        <v>0</v>
      </c>
      <c r="AD17" s="299"/>
      <c r="AE17" s="297">
        <v>0</v>
      </c>
      <c r="AF17" s="298">
        <v>0</v>
      </c>
      <c r="AG17" s="299"/>
      <c r="AH17" s="297">
        <v>0</v>
      </c>
      <c r="AI17" s="298">
        <v>0</v>
      </c>
      <c r="AJ17" s="299"/>
      <c r="AK17" s="297">
        <v>0</v>
      </c>
      <c r="AL17" s="298">
        <v>0</v>
      </c>
      <c r="AM17" s="299"/>
      <c r="AN17" s="297">
        <v>0</v>
      </c>
      <c r="AO17" s="298">
        <v>0</v>
      </c>
      <c r="AP17" s="299"/>
      <c r="AQ17" s="297">
        <v>0</v>
      </c>
      <c r="AR17" s="298">
        <v>0</v>
      </c>
      <c r="AS17" s="299"/>
      <c r="AT17" s="297">
        <v>0</v>
      </c>
      <c r="AU17" s="298">
        <v>0</v>
      </c>
      <c r="AV17" s="299"/>
    </row>
    <row r="18" spans="1:56">
      <c r="A18" s="24">
        <v>10</v>
      </c>
      <c r="B18" s="290" t="s">
        <v>1915</v>
      </c>
      <c r="C18" s="285" t="s">
        <v>1170</v>
      </c>
      <c r="D18" s="285"/>
      <c r="E18" s="285" t="s">
        <v>398</v>
      </c>
      <c r="F18" s="285" t="s">
        <v>817</v>
      </c>
      <c r="G18" s="285" t="s">
        <v>1916</v>
      </c>
      <c r="H18" s="285" t="s">
        <v>398</v>
      </c>
      <c r="I18" s="286" t="s">
        <v>398</v>
      </c>
      <c r="J18" s="297">
        <v>-2279109.5</v>
      </c>
      <c r="K18" s="300">
        <v>-2238048.0300000003</v>
      </c>
      <c r="L18" s="299">
        <v>-41061.47</v>
      </c>
      <c r="M18" s="297">
        <v>-2226742.2999999998</v>
      </c>
      <c r="N18" s="300">
        <v>-2177832.12</v>
      </c>
      <c r="O18" s="299">
        <v>-48910.18</v>
      </c>
      <c r="P18" s="297">
        <v>-2231648.46</v>
      </c>
      <c r="Q18" s="300">
        <v>-2182738.2800000003</v>
      </c>
      <c r="R18" s="299">
        <v>-48910.18</v>
      </c>
      <c r="S18" s="297">
        <v>-2244974.9500000002</v>
      </c>
      <c r="T18" s="300">
        <v>-2196064.77</v>
      </c>
      <c r="U18" s="299">
        <v>-48910.18</v>
      </c>
      <c r="V18" s="297">
        <v>-2238326.9700000002</v>
      </c>
      <c r="W18" s="300">
        <v>-2188576.84</v>
      </c>
      <c r="X18" s="299">
        <v>-49750.13</v>
      </c>
      <c r="Y18" s="297">
        <v>-2236733.9700000002</v>
      </c>
      <c r="Z18" s="300">
        <v>-2188576.84</v>
      </c>
      <c r="AA18" s="299">
        <v>-48157.13</v>
      </c>
      <c r="AB18" s="297">
        <v>-2236210.0699999998</v>
      </c>
      <c r="AC18" s="300">
        <v>-2186613.7000000002</v>
      </c>
      <c r="AD18" s="299">
        <v>-49596.37</v>
      </c>
      <c r="AE18" s="297">
        <v>-2902309.1</v>
      </c>
      <c r="AF18" s="300">
        <v>-2852426.2</v>
      </c>
      <c r="AG18" s="299">
        <v>-49882.9</v>
      </c>
      <c r="AH18" s="297">
        <v>-2962128.58</v>
      </c>
      <c r="AI18" s="300">
        <v>-2864501.58</v>
      </c>
      <c r="AJ18" s="299">
        <v>-97627</v>
      </c>
      <c r="AK18" s="297">
        <v>-2962128.58</v>
      </c>
      <c r="AL18" s="300">
        <v>-2864501.58</v>
      </c>
      <c r="AM18" s="299">
        <v>-97627</v>
      </c>
      <c r="AN18" s="297">
        <v>-2962128.58</v>
      </c>
      <c r="AO18" s="300">
        <v>-2864501.58</v>
      </c>
      <c r="AP18" s="299">
        <v>-97627</v>
      </c>
      <c r="AQ18" s="297">
        <v>-2960940.58</v>
      </c>
      <c r="AR18" s="300">
        <v>-2863313.58</v>
      </c>
      <c r="AS18" s="299">
        <v>-97627</v>
      </c>
      <c r="AT18" s="297">
        <v>-2978881.44</v>
      </c>
      <c r="AU18" s="300">
        <v>-2863313.58</v>
      </c>
      <c r="AV18" s="299">
        <v>-115567.86</v>
      </c>
      <c r="AW18" s="88">
        <f>+(AT18+J18+(M18+P18+S18+V18+Y18+AB18+AE18+AH18+AK18+AN18+AQ18)*2)/24</f>
        <v>-2566105.6341666658</v>
      </c>
      <c r="AX18" s="88">
        <f t="shared" ref="AX18:AY22" si="0">+(AU18+K18+(N18+Q18+T18+W18+Z18+AC18+AF18+AI18+AL18+AO18+AR18)*2)/24</f>
        <v>-2498360.6562499995</v>
      </c>
      <c r="AY18" s="88">
        <f t="shared" si="0"/>
        <v>-67744.97791666667</v>
      </c>
    </row>
    <row r="19" spans="1:56">
      <c r="A19" s="24">
        <v>11</v>
      </c>
      <c r="B19" s="290" t="s">
        <v>1917</v>
      </c>
      <c r="C19" s="285" t="s">
        <v>1170</v>
      </c>
      <c r="D19" s="285"/>
      <c r="E19" s="285" t="s">
        <v>1910</v>
      </c>
      <c r="F19" s="285" t="s">
        <v>817</v>
      </c>
      <c r="G19" s="285" t="s">
        <v>1918</v>
      </c>
      <c r="H19" s="285" t="s">
        <v>398</v>
      </c>
      <c r="I19" s="286" t="s">
        <v>398</v>
      </c>
      <c r="J19" s="297">
        <v>76970.94</v>
      </c>
      <c r="K19" s="298">
        <v>76970.94</v>
      </c>
      <c r="L19" s="299">
        <v>0</v>
      </c>
      <c r="M19" s="297">
        <v>0</v>
      </c>
      <c r="N19" s="298">
        <v>0</v>
      </c>
      <c r="O19" s="299">
        <v>0</v>
      </c>
      <c r="P19" s="297">
        <v>7662.17</v>
      </c>
      <c r="Q19" s="298">
        <v>7662.17</v>
      </c>
      <c r="R19" s="299">
        <v>0</v>
      </c>
      <c r="S19" s="297">
        <v>7662.17</v>
      </c>
      <c r="T19" s="298">
        <v>7662.17</v>
      </c>
      <c r="U19" s="299">
        <v>0</v>
      </c>
      <c r="V19" s="297">
        <v>16274.85</v>
      </c>
      <c r="W19" s="298">
        <v>16274.85</v>
      </c>
      <c r="X19" s="299">
        <v>0</v>
      </c>
      <c r="Y19" s="297">
        <v>46932.4</v>
      </c>
      <c r="Z19" s="298">
        <v>46932.4</v>
      </c>
      <c r="AA19" s="299">
        <v>0</v>
      </c>
      <c r="AB19" s="297">
        <v>111861.2</v>
      </c>
      <c r="AC19" s="298">
        <v>111861.2</v>
      </c>
      <c r="AD19" s="299">
        <v>0</v>
      </c>
      <c r="AE19" s="297">
        <v>111861.2</v>
      </c>
      <c r="AF19" s="298">
        <v>111861.2</v>
      </c>
      <c r="AG19" s="299">
        <v>0</v>
      </c>
      <c r="AH19" s="297">
        <v>111861.2</v>
      </c>
      <c r="AI19" s="298">
        <v>111861.2</v>
      </c>
      <c r="AJ19" s="299">
        <v>0</v>
      </c>
      <c r="AK19" s="297">
        <v>111861.2</v>
      </c>
      <c r="AL19" s="298">
        <v>111861.2</v>
      </c>
      <c r="AM19" s="299">
        <v>0</v>
      </c>
      <c r="AN19" s="297">
        <v>111861.2</v>
      </c>
      <c r="AO19" s="298">
        <v>111861.2</v>
      </c>
      <c r="AP19" s="299">
        <v>0</v>
      </c>
      <c r="AQ19" s="297">
        <v>168335.9</v>
      </c>
      <c r="AR19" s="298">
        <v>168335.9</v>
      </c>
      <c r="AS19" s="299">
        <v>0</v>
      </c>
      <c r="AT19" s="297">
        <v>168335.9</v>
      </c>
      <c r="AU19" s="298">
        <v>168335.9</v>
      </c>
      <c r="AV19" s="299">
        <v>0</v>
      </c>
      <c r="AW19" s="88">
        <f t="shared" ref="AW19:AW22" si="1">+(AT19+J19+(M19+P19+S19+V19+Y19+AB19+AE19+AH19+AK19+AN19+AQ19)*2)/24</f>
        <v>77402.242500000008</v>
      </c>
      <c r="AX19" s="88">
        <f t="shared" si="0"/>
        <v>77402.242500000008</v>
      </c>
      <c r="AY19" s="88">
        <f t="shared" si="0"/>
        <v>0</v>
      </c>
    </row>
    <row r="20" spans="1:56">
      <c r="A20" s="24">
        <v>12</v>
      </c>
      <c r="B20" s="290" t="s">
        <v>1919</v>
      </c>
      <c r="C20" s="285" t="s">
        <v>1170</v>
      </c>
      <c r="D20" s="285"/>
      <c r="E20" s="285" t="s">
        <v>1910</v>
      </c>
      <c r="F20" s="285" t="s">
        <v>817</v>
      </c>
      <c r="G20" s="285" t="s">
        <v>1920</v>
      </c>
      <c r="H20" s="285" t="s">
        <v>398</v>
      </c>
      <c r="I20" s="286" t="s">
        <v>398</v>
      </c>
      <c r="J20" s="301">
        <v>0</v>
      </c>
      <c r="K20" s="302">
        <v>0.01</v>
      </c>
      <c r="L20" s="303">
        <v>-0.01</v>
      </c>
      <c r="M20" s="301">
        <v>0</v>
      </c>
      <c r="N20" s="302">
        <v>0.01</v>
      </c>
      <c r="O20" s="303">
        <v>-0.01</v>
      </c>
      <c r="P20" s="301">
        <v>0</v>
      </c>
      <c r="Q20" s="302">
        <v>0.01</v>
      </c>
      <c r="R20" s="303">
        <v>-0.01</v>
      </c>
      <c r="S20" s="301">
        <v>0</v>
      </c>
      <c r="T20" s="302">
        <v>0.01</v>
      </c>
      <c r="U20" s="303">
        <v>-0.01</v>
      </c>
      <c r="V20" s="301">
        <v>0</v>
      </c>
      <c r="W20" s="302">
        <v>0.01</v>
      </c>
      <c r="X20" s="303">
        <v>-0.01</v>
      </c>
      <c r="Y20" s="301">
        <v>0</v>
      </c>
      <c r="Z20" s="302">
        <v>0.01</v>
      </c>
      <c r="AA20" s="303">
        <v>-0.01</v>
      </c>
      <c r="AB20" s="301">
        <v>0</v>
      </c>
      <c r="AC20" s="302">
        <v>0.01</v>
      </c>
      <c r="AD20" s="303">
        <v>-0.01</v>
      </c>
      <c r="AE20" s="301">
        <v>0</v>
      </c>
      <c r="AF20" s="302">
        <v>0.01</v>
      </c>
      <c r="AG20" s="303">
        <v>-0.01</v>
      </c>
      <c r="AH20" s="301">
        <v>0</v>
      </c>
      <c r="AI20" s="302">
        <v>0.01</v>
      </c>
      <c r="AJ20" s="303">
        <v>-0.01</v>
      </c>
      <c r="AK20" s="301">
        <v>0</v>
      </c>
      <c r="AL20" s="302">
        <v>0.01</v>
      </c>
      <c r="AM20" s="303">
        <v>-0.01</v>
      </c>
      <c r="AN20" s="301">
        <v>0</v>
      </c>
      <c r="AO20" s="302">
        <v>0.01</v>
      </c>
      <c r="AP20" s="303">
        <v>-0.01</v>
      </c>
      <c r="AQ20" s="301">
        <v>0</v>
      </c>
      <c r="AR20" s="302">
        <v>0.01</v>
      </c>
      <c r="AS20" s="303">
        <v>-0.01</v>
      </c>
      <c r="AT20" s="301">
        <v>0</v>
      </c>
      <c r="AU20" s="302">
        <v>0.01</v>
      </c>
      <c r="AV20" s="303">
        <v>-0.01</v>
      </c>
      <c r="AW20" s="88">
        <f t="shared" si="1"/>
        <v>0</v>
      </c>
      <c r="AX20" s="88">
        <f t="shared" si="0"/>
        <v>9.9999999999999985E-3</v>
      </c>
      <c r="AY20" s="88">
        <f t="shared" si="0"/>
        <v>-9.9999999999999985E-3</v>
      </c>
    </row>
    <row r="21" spans="1:56">
      <c r="A21" s="168">
        <v>13</v>
      </c>
      <c r="B21" s="290" t="s">
        <v>1921</v>
      </c>
      <c r="C21" s="285" t="s">
        <v>1170</v>
      </c>
      <c r="D21" s="285"/>
      <c r="E21" s="285" t="s">
        <v>1910</v>
      </c>
      <c r="F21" s="285" t="s">
        <v>817</v>
      </c>
      <c r="G21" s="285" t="s">
        <v>1922</v>
      </c>
      <c r="H21" s="285" t="s">
        <v>398</v>
      </c>
      <c r="I21" s="286" t="s">
        <v>398</v>
      </c>
      <c r="J21" s="301">
        <v>-1873090.42</v>
      </c>
      <c r="K21" s="302">
        <v>-1418589.59</v>
      </c>
      <c r="L21" s="303">
        <v>-454500.83</v>
      </c>
      <c r="M21" s="301">
        <v>-1871940.47</v>
      </c>
      <c r="N21" s="302">
        <v>-1408934.05</v>
      </c>
      <c r="O21" s="303">
        <v>-463006.42</v>
      </c>
      <c r="P21" s="301">
        <v>-1871424.42</v>
      </c>
      <c r="Q21" s="302">
        <v>-1408545.62</v>
      </c>
      <c r="R21" s="303">
        <v>-462878.8</v>
      </c>
      <c r="S21" s="301">
        <v>-1801886.81</v>
      </c>
      <c r="T21" s="302">
        <v>-1356204.66</v>
      </c>
      <c r="U21" s="303">
        <v>-445682.15</v>
      </c>
      <c r="V21" s="301">
        <v>-1811877.29</v>
      </c>
      <c r="W21" s="302">
        <v>-1363724.49</v>
      </c>
      <c r="X21" s="303">
        <v>-448152.8</v>
      </c>
      <c r="Y21" s="301">
        <v>-1835727.71</v>
      </c>
      <c r="Z21" s="302">
        <v>-1381676.7</v>
      </c>
      <c r="AA21" s="303">
        <v>-454051.01</v>
      </c>
      <c r="AB21" s="301">
        <v>-1810275.43</v>
      </c>
      <c r="AC21" s="302">
        <v>-1362518.77</v>
      </c>
      <c r="AD21" s="303">
        <v>-447756.66</v>
      </c>
      <c r="AE21" s="301">
        <v>-1806885.94</v>
      </c>
      <c r="AF21" s="302">
        <v>-1359967.5</v>
      </c>
      <c r="AG21" s="303">
        <v>-446918.44</v>
      </c>
      <c r="AH21" s="301">
        <v>-1807118.06</v>
      </c>
      <c r="AI21" s="302">
        <v>-1360142.22</v>
      </c>
      <c r="AJ21" s="303">
        <v>-446975.84</v>
      </c>
      <c r="AK21" s="301">
        <v>-1718242.87</v>
      </c>
      <c r="AL21" s="302">
        <v>-1293245.8600000001</v>
      </c>
      <c r="AM21" s="303">
        <v>-424997.01</v>
      </c>
      <c r="AN21" s="301">
        <v>-1714074.84</v>
      </c>
      <c r="AO21" s="302">
        <v>-1290108.58</v>
      </c>
      <c r="AP21" s="303">
        <v>-423966.26</v>
      </c>
      <c r="AQ21" s="301">
        <v>-1706168.66</v>
      </c>
      <c r="AR21" s="302">
        <v>-1284157.6000000001</v>
      </c>
      <c r="AS21" s="303">
        <v>-422011.06</v>
      </c>
      <c r="AT21" s="301">
        <v>-1671584.25</v>
      </c>
      <c r="AU21" s="302">
        <v>-1258125.9099999999</v>
      </c>
      <c r="AV21" s="303">
        <v>-413458.34</v>
      </c>
      <c r="AW21" s="88">
        <f t="shared" si="1"/>
        <v>-1793996.6529166668</v>
      </c>
      <c r="AX21" s="88">
        <f t="shared" si="0"/>
        <v>-1350631.9833333334</v>
      </c>
      <c r="AY21" s="88">
        <f t="shared" si="0"/>
        <v>-443364.66958333325</v>
      </c>
    </row>
    <row r="22" spans="1:56" ht="16.5" thickBot="1">
      <c r="A22" s="168">
        <v>14</v>
      </c>
      <c r="B22" s="290" t="s">
        <v>1923</v>
      </c>
      <c r="C22" s="285" t="s">
        <v>1170</v>
      </c>
      <c r="D22" s="285"/>
      <c r="E22" s="285" t="s">
        <v>1910</v>
      </c>
      <c r="F22" s="285" t="s">
        <v>817</v>
      </c>
      <c r="G22" s="285" t="s">
        <v>1924</v>
      </c>
      <c r="H22" s="285" t="s">
        <v>398</v>
      </c>
      <c r="I22" s="286" t="s">
        <v>398</v>
      </c>
      <c r="J22" s="301">
        <v>0</v>
      </c>
      <c r="K22" s="302">
        <v>0</v>
      </c>
      <c r="L22" s="303">
        <v>0</v>
      </c>
      <c r="M22" s="301">
        <v>0</v>
      </c>
      <c r="N22" s="302">
        <v>0</v>
      </c>
      <c r="O22" s="303">
        <v>0</v>
      </c>
      <c r="P22" s="301">
        <v>0</v>
      </c>
      <c r="Q22" s="302">
        <v>0</v>
      </c>
      <c r="R22" s="303">
        <v>0</v>
      </c>
      <c r="S22" s="301">
        <v>0</v>
      </c>
      <c r="T22" s="302">
        <v>0</v>
      </c>
      <c r="U22" s="303">
        <v>0</v>
      </c>
      <c r="V22" s="301">
        <v>0</v>
      </c>
      <c r="W22" s="302">
        <v>0</v>
      </c>
      <c r="X22" s="303">
        <v>0</v>
      </c>
      <c r="Y22" s="301">
        <v>0</v>
      </c>
      <c r="Z22" s="302">
        <v>0</v>
      </c>
      <c r="AA22" s="303">
        <v>0</v>
      </c>
      <c r="AB22" s="301">
        <v>0</v>
      </c>
      <c r="AC22" s="302">
        <v>0</v>
      </c>
      <c r="AD22" s="303">
        <v>0</v>
      </c>
      <c r="AE22" s="301">
        <v>0</v>
      </c>
      <c r="AF22" s="302">
        <v>0</v>
      </c>
      <c r="AG22" s="303">
        <v>0</v>
      </c>
      <c r="AH22" s="301">
        <v>0</v>
      </c>
      <c r="AI22" s="302">
        <v>0</v>
      </c>
      <c r="AJ22" s="303">
        <v>0</v>
      </c>
      <c r="AK22" s="301">
        <v>0</v>
      </c>
      <c r="AL22" s="302">
        <v>0</v>
      </c>
      <c r="AM22" s="303">
        <v>0</v>
      </c>
      <c r="AN22" s="301">
        <v>0</v>
      </c>
      <c r="AO22" s="302">
        <v>0</v>
      </c>
      <c r="AP22" s="303">
        <v>0</v>
      </c>
      <c r="AQ22" s="301">
        <v>0</v>
      </c>
      <c r="AR22" s="302">
        <v>0</v>
      </c>
      <c r="AS22" s="303">
        <v>0</v>
      </c>
      <c r="AT22" s="301">
        <v>0</v>
      </c>
      <c r="AU22" s="302">
        <v>0</v>
      </c>
      <c r="AV22" s="303">
        <v>0</v>
      </c>
      <c r="AW22" s="304">
        <f t="shared" si="1"/>
        <v>0</v>
      </c>
      <c r="AX22" s="304">
        <f t="shared" si="0"/>
        <v>0</v>
      </c>
      <c r="AY22" s="304">
        <f t="shared" si="0"/>
        <v>0</v>
      </c>
    </row>
    <row r="23" spans="1:56" ht="16.5" thickBot="1">
      <c r="A23" s="168">
        <v>15</v>
      </c>
      <c r="B23" s="290"/>
      <c r="C23" s="285"/>
      <c r="D23" s="285"/>
      <c r="E23" s="285"/>
      <c r="F23" s="285"/>
      <c r="G23" s="285"/>
      <c r="H23" s="285"/>
      <c r="I23" s="286"/>
      <c r="J23" s="305">
        <f>SUM(J18:J22)</f>
        <v>-4075228.98</v>
      </c>
      <c r="K23" s="306">
        <f>SUM(K17:K22)</f>
        <v>-3579666.6700000009</v>
      </c>
      <c r="L23" s="307">
        <f>SUM(L18:L22)</f>
        <v>-495562.31</v>
      </c>
      <c r="M23" s="305">
        <f>SUM(M17:M22)</f>
        <v>-4098682.7699999996</v>
      </c>
      <c r="N23" s="306">
        <f>SUM(N17:N22)</f>
        <v>-3586766.16</v>
      </c>
      <c r="O23" s="307">
        <f>SUM(O18:O22)</f>
        <v>-511916.61</v>
      </c>
      <c r="P23" s="305">
        <f>SUM(P17:P22)</f>
        <v>-4095410.71</v>
      </c>
      <c r="Q23" s="306">
        <f>SUM(Q17:Q22)</f>
        <v>-3583621.7200000007</v>
      </c>
      <c r="R23" s="307">
        <f>SUM(R18:R22)</f>
        <v>-511788.99</v>
      </c>
      <c r="S23" s="305">
        <f>SUM(S17:S22)</f>
        <v>-4039199.5900000003</v>
      </c>
      <c r="T23" s="306">
        <f>SUM(T17:T22)</f>
        <v>-3544607.25</v>
      </c>
      <c r="U23" s="307">
        <f>SUM(U18:U22)</f>
        <v>-494592.34</v>
      </c>
      <c r="V23" s="305">
        <f>SUM(V17:V22)</f>
        <v>-4033929.41</v>
      </c>
      <c r="W23" s="306">
        <f>SUM(W17:W22)</f>
        <v>-3536026.4699999997</v>
      </c>
      <c r="X23" s="307">
        <f>SUM(X18:X22)</f>
        <v>-497902.94</v>
      </c>
      <c r="Y23" s="305">
        <f>SUM(Y17:Y22)</f>
        <v>-4025529.2800000003</v>
      </c>
      <c r="Z23" s="306">
        <f>SUM(Z17:Z22)</f>
        <v>-3523321.13</v>
      </c>
      <c r="AA23" s="307">
        <f>SUM(AA18:AA22)</f>
        <v>-502208.15</v>
      </c>
      <c r="AB23" s="305">
        <f>SUM(AB17:AB22)</f>
        <v>-3934624.3</v>
      </c>
      <c r="AC23" s="306">
        <f>SUM(AC17:AC22)</f>
        <v>-3437271.2600000002</v>
      </c>
      <c r="AD23" s="307">
        <f>SUM(AD18:AD22)</f>
        <v>-497353.04</v>
      </c>
      <c r="AE23" s="305">
        <f>SUM(AE17:AE22)</f>
        <v>-4597333.84</v>
      </c>
      <c r="AF23" s="306">
        <f>SUM(AF17:AF22)</f>
        <v>-4100532.49</v>
      </c>
      <c r="AG23" s="307">
        <f>SUM(AG18:AG22)</f>
        <v>-496801.35</v>
      </c>
      <c r="AH23" s="305">
        <f>SUM(AH17:AH22)</f>
        <v>-4657385.4399999995</v>
      </c>
      <c r="AI23" s="306">
        <f>SUM(AI17:AI22)</f>
        <v>-4112782.59</v>
      </c>
      <c r="AJ23" s="307">
        <f>SUM(AJ18:AJ22)</f>
        <v>-544602.85</v>
      </c>
      <c r="AK23" s="305">
        <f>SUM(AK17:AK22)</f>
        <v>-4568510.25</v>
      </c>
      <c r="AL23" s="306">
        <f>SUM(AL17:AL22)</f>
        <v>-4045886.2300000004</v>
      </c>
      <c r="AM23" s="307">
        <f>SUM(AM18:AM22)</f>
        <v>-522624.02</v>
      </c>
      <c r="AN23" s="305">
        <f>SUM(AN17:AN22)</f>
        <v>-4564342.22</v>
      </c>
      <c r="AO23" s="306">
        <f>SUM(AO17:AO22)</f>
        <v>-4042748.95</v>
      </c>
      <c r="AP23" s="307">
        <f>SUM(AP18:AP22)</f>
        <v>-521593.27</v>
      </c>
      <c r="AQ23" s="305">
        <f>SUM(AQ17:AQ22)</f>
        <v>-4498773.34</v>
      </c>
      <c r="AR23" s="306">
        <f>SUM(AR17:AR22)</f>
        <v>-3979135.2700000005</v>
      </c>
      <c r="AS23" s="307">
        <f>SUM(AS18:AS22)</f>
        <v>-519638.07</v>
      </c>
      <c r="AT23" s="305">
        <f>SUM(AT17:AT22)</f>
        <v>-4482129.79</v>
      </c>
      <c r="AU23" s="306">
        <f>SUM(AU17:AU22)</f>
        <v>-3953103.58</v>
      </c>
      <c r="AV23" s="307">
        <f>SUM(AV18:AV22)</f>
        <v>-529026.21</v>
      </c>
      <c r="AW23" s="308">
        <f>SUM(AW18:AW22)</f>
        <v>-4282700.0445833327</v>
      </c>
      <c r="AX23" s="309">
        <f t="shared" ref="AX23:AY23" si="2">SUM(AX18:AX22)</f>
        <v>-3771590.387083333</v>
      </c>
      <c r="AY23" s="310">
        <f t="shared" si="2"/>
        <v>-511109.65749999991</v>
      </c>
    </row>
    <row r="24" spans="1:56" ht="16.5" thickTop="1">
      <c r="A24" s="168">
        <v>16</v>
      </c>
      <c r="B24" s="290"/>
      <c r="C24" s="285"/>
      <c r="D24" s="285"/>
      <c r="E24" s="285"/>
      <c r="F24" s="285"/>
      <c r="G24" s="285"/>
      <c r="H24" s="285"/>
      <c r="I24" s="286"/>
      <c r="J24" s="297"/>
      <c r="K24" s="298"/>
      <c r="L24" s="299">
        <v>8.7311491370201111E-10</v>
      </c>
      <c r="M24" s="297"/>
      <c r="N24" s="298"/>
      <c r="O24" s="299">
        <v>5.8207660913467407E-10</v>
      </c>
      <c r="P24" s="297"/>
      <c r="Q24" s="298"/>
      <c r="R24" s="299">
        <v>6.9849193096160889E-10</v>
      </c>
      <c r="S24" s="297"/>
      <c r="T24" s="298"/>
      <c r="U24" s="299">
        <v>0</v>
      </c>
      <c r="V24" s="297"/>
      <c r="W24" s="298"/>
      <c r="X24" s="299">
        <v>0</v>
      </c>
      <c r="Y24" s="297"/>
      <c r="Z24" s="298"/>
      <c r="AA24" s="299">
        <v>0</v>
      </c>
      <c r="AB24" s="297"/>
      <c r="AC24" s="298"/>
      <c r="AD24" s="299">
        <v>0</v>
      </c>
      <c r="AE24" s="297"/>
      <c r="AF24" s="298"/>
      <c r="AG24" s="299">
        <v>0</v>
      </c>
      <c r="AH24" s="297"/>
      <c r="AI24" s="298"/>
      <c r="AJ24" s="299">
        <v>0</v>
      </c>
      <c r="AK24" s="297"/>
      <c r="AL24" s="298"/>
      <c r="AM24" s="299">
        <v>4.6566128730773926E-10</v>
      </c>
      <c r="AN24" s="297"/>
      <c r="AO24" s="298"/>
      <c r="AP24" s="299">
        <v>4.6566128730773926E-10</v>
      </c>
      <c r="AQ24" s="297"/>
      <c r="AR24" s="298"/>
      <c r="AS24" s="299">
        <v>6.4028427004814148E-10</v>
      </c>
      <c r="AT24" s="297"/>
      <c r="AU24" s="298"/>
      <c r="AV24" s="299">
        <v>0</v>
      </c>
      <c r="AW24" s="311">
        <f>+'Working Capital Work Paper'!S301</f>
        <v>-4282700.0445833337</v>
      </c>
      <c r="AX24" s="1260" t="s">
        <v>1943</v>
      </c>
      <c r="AY24" s="1260"/>
      <c r="AZ24" s="1260"/>
      <c r="BA24" s="1260"/>
      <c r="BB24" s="1260"/>
      <c r="BC24" s="1260"/>
      <c r="BD24" s="1260"/>
    </row>
    <row r="25" spans="1:56">
      <c r="A25" s="168">
        <v>17</v>
      </c>
      <c r="B25" s="1270" t="s">
        <v>1925</v>
      </c>
      <c r="C25" s="1271"/>
      <c r="D25" s="1271"/>
      <c r="E25" s="1271"/>
      <c r="F25" s="1271"/>
      <c r="G25" s="1271"/>
      <c r="H25" s="1271"/>
      <c r="I25" s="1272"/>
      <c r="J25" s="312"/>
      <c r="K25" s="313"/>
      <c r="L25" s="314"/>
      <c r="M25" s="312"/>
      <c r="N25" s="313"/>
      <c r="O25" s="314"/>
      <c r="P25" s="312"/>
      <c r="Q25" s="313"/>
      <c r="R25" s="314"/>
      <c r="S25" s="312"/>
      <c r="T25" s="313"/>
      <c r="U25" s="314"/>
      <c r="V25" s="312"/>
      <c r="W25" s="313"/>
      <c r="X25" s="314"/>
      <c r="Y25" s="312"/>
      <c r="Z25" s="313"/>
      <c r="AA25" s="314"/>
      <c r="AB25" s="312"/>
      <c r="AC25" s="313"/>
      <c r="AD25" s="314"/>
      <c r="AE25" s="312"/>
      <c r="AF25" s="313"/>
      <c r="AG25" s="314"/>
      <c r="AH25" s="312"/>
      <c r="AI25" s="313"/>
      <c r="AJ25" s="314"/>
      <c r="AK25" s="312"/>
      <c r="AL25" s="313"/>
      <c r="AM25" s="314"/>
      <c r="AN25" s="312"/>
      <c r="AO25" s="313"/>
      <c r="AP25" s="314"/>
      <c r="AQ25" s="312"/>
      <c r="AR25" s="313"/>
      <c r="AS25" s="314"/>
      <c r="AT25" s="312"/>
      <c r="AU25" s="313"/>
      <c r="AV25" s="314"/>
      <c r="AX25" s="1260"/>
      <c r="AY25" s="1260"/>
      <c r="AZ25" s="1260"/>
      <c r="BA25" s="1260"/>
      <c r="BB25" s="1260"/>
      <c r="BC25" s="1260"/>
      <c r="BD25" s="1260"/>
    </row>
    <row r="26" spans="1:56">
      <c r="A26" s="168">
        <v>18</v>
      </c>
      <c r="B26" s="315" t="s">
        <v>1926</v>
      </c>
      <c r="C26" s="285" t="s">
        <v>1170</v>
      </c>
      <c r="D26" s="285"/>
      <c r="E26" s="285" t="s">
        <v>1910</v>
      </c>
      <c r="F26" s="316" t="s">
        <v>839</v>
      </c>
      <c r="G26" s="316" t="s">
        <v>1927</v>
      </c>
      <c r="H26" s="316" t="s">
        <v>398</v>
      </c>
      <c r="I26" s="317" t="s">
        <v>398</v>
      </c>
      <c r="J26" s="318">
        <v>-95924439.430000007</v>
      </c>
      <c r="K26" s="319">
        <v>-73343826.390000001</v>
      </c>
      <c r="L26" s="320">
        <v>-22580613.039999999</v>
      </c>
      <c r="M26" s="318">
        <v>-95880284.769999996</v>
      </c>
      <c r="N26" s="319">
        <v>-73396357.989999995</v>
      </c>
      <c r="O26" s="320">
        <v>-22483926.780000001</v>
      </c>
      <c r="P26" s="318">
        <v>-95836130.090000004</v>
      </c>
      <c r="Q26" s="319">
        <v>-73362557.579999998</v>
      </c>
      <c r="R26" s="320">
        <v>-22473572.510000002</v>
      </c>
      <c r="S26" s="318">
        <v>-95477141.109999999</v>
      </c>
      <c r="T26" s="319">
        <v>-73087751.519999996</v>
      </c>
      <c r="U26" s="320">
        <v>-22389389.59</v>
      </c>
      <c r="V26" s="318">
        <v>-95326147.390000001</v>
      </c>
      <c r="W26" s="319">
        <v>-72972165.829999998</v>
      </c>
      <c r="X26" s="320">
        <v>-22353981.559999999</v>
      </c>
      <c r="Y26" s="318">
        <v>-95175153.719999999</v>
      </c>
      <c r="Z26" s="319">
        <v>-72856580.180000007</v>
      </c>
      <c r="AA26" s="320">
        <v>-22318573.539999999</v>
      </c>
      <c r="AB26" s="318">
        <v>-95342095.019999996</v>
      </c>
      <c r="AC26" s="319">
        <v>-72984373.75</v>
      </c>
      <c r="AD26" s="320">
        <v>-22357721.27</v>
      </c>
      <c r="AE26" s="318">
        <v>-95244090.469999999</v>
      </c>
      <c r="AF26" s="319">
        <v>-72909351.269999996</v>
      </c>
      <c r="AG26" s="320">
        <v>-22334739.199999999</v>
      </c>
      <c r="AH26" s="318">
        <v>-95146085.950000003</v>
      </c>
      <c r="AI26" s="319">
        <v>-72834328.810000002</v>
      </c>
      <c r="AJ26" s="320">
        <v>-22311757.140000001</v>
      </c>
      <c r="AK26" s="318">
        <v>-96377115.560000002</v>
      </c>
      <c r="AL26" s="319">
        <v>-73776681.980000004</v>
      </c>
      <c r="AM26" s="320">
        <v>-22600433.579999998</v>
      </c>
      <c r="AN26" s="318">
        <v>-96426781.480000004</v>
      </c>
      <c r="AO26" s="319">
        <v>-73814701.239999995</v>
      </c>
      <c r="AP26" s="320">
        <v>-22612080.239999998</v>
      </c>
      <c r="AQ26" s="318">
        <v>-98123078.379999995</v>
      </c>
      <c r="AR26" s="319">
        <v>-75113216.519999996</v>
      </c>
      <c r="AS26" s="320">
        <v>-23009861.859999999</v>
      </c>
      <c r="AT26" s="318">
        <v>-98089298.930000007</v>
      </c>
      <c r="AU26" s="319">
        <v>-75087358.349999994</v>
      </c>
      <c r="AV26" s="320">
        <v>-23001940.579999998</v>
      </c>
      <c r="AW26" s="88">
        <f t="shared" ref="AW26:AW29" si="3">+(AT26+J26+(M26+P26+S26+V26+Y26+AB26+AE26+AH26+AK26+AN26+AQ26)*2)/24</f>
        <v>-95946747.760000005</v>
      </c>
      <c r="AX26" s="88">
        <f t="shared" ref="AX26:AX29" si="4">+(AU26+K26+(N26+Q26+T26+W26+Z26+AC26+AF26+AI26+AL26+AO26+AR26)*2)/24</f>
        <v>-73443638.25333333</v>
      </c>
      <c r="AY26" s="88">
        <f t="shared" ref="AY26:AY29" si="5">+(AV26+L26+(O26+R26+U26+X26+AA26+AD26+AG26+AJ26+AM26+AP26+AS26)*2)/24</f>
        <v>-22503109.506666671</v>
      </c>
    </row>
    <row r="27" spans="1:56">
      <c r="A27" s="168">
        <v>19</v>
      </c>
      <c r="B27" s="315" t="s">
        <v>1928</v>
      </c>
      <c r="C27" s="285" t="s">
        <v>1170</v>
      </c>
      <c r="D27" s="285"/>
      <c r="E27" s="285" t="s">
        <v>1910</v>
      </c>
      <c r="F27" s="316" t="s">
        <v>841</v>
      </c>
      <c r="G27" s="316" t="s">
        <v>1929</v>
      </c>
      <c r="H27" s="316" t="s">
        <v>398</v>
      </c>
      <c r="I27" s="317" t="s">
        <v>398</v>
      </c>
      <c r="J27" s="318">
        <v>-298910.77</v>
      </c>
      <c r="K27" s="319">
        <v>-228547.15</v>
      </c>
      <c r="L27" s="320">
        <v>-70363.62</v>
      </c>
      <c r="M27" s="318">
        <v>-297733.95</v>
      </c>
      <c r="N27" s="319">
        <v>-227915.33</v>
      </c>
      <c r="O27" s="320">
        <v>-69818.62</v>
      </c>
      <c r="P27" s="318">
        <v>-296557.15000000002</v>
      </c>
      <c r="Q27" s="319">
        <v>-227014.49</v>
      </c>
      <c r="R27" s="320">
        <v>-69542.66</v>
      </c>
      <c r="S27" s="318">
        <v>-295380.34999999998</v>
      </c>
      <c r="T27" s="319">
        <v>-226113.65</v>
      </c>
      <c r="U27" s="320">
        <v>-69266.7</v>
      </c>
      <c r="V27" s="318">
        <v>-294203.53000000003</v>
      </c>
      <c r="W27" s="319">
        <v>-225212.79</v>
      </c>
      <c r="X27" s="320">
        <v>-68990.740000000005</v>
      </c>
      <c r="Y27" s="318">
        <v>-293026.71999999997</v>
      </c>
      <c r="Z27" s="319">
        <v>-224311.94</v>
      </c>
      <c r="AA27" s="320">
        <v>-68714.78</v>
      </c>
      <c r="AB27" s="318">
        <v>-291849.90999999997</v>
      </c>
      <c r="AC27" s="319">
        <v>-223411.09</v>
      </c>
      <c r="AD27" s="320">
        <v>-68438.820000000007</v>
      </c>
      <c r="AE27" s="318">
        <v>-290673.11</v>
      </c>
      <c r="AF27" s="319">
        <v>-222510.25</v>
      </c>
      <c r="AG27" s="320">
        <v>-68162.86</v>
      </c>
      <c r="AH27" s="318">
        <v>-289496.3</v>
      </c>
      <c r="AI27" s="319">
        <v>-221609.4</v>
      </c>
      <c r="AJ27" s="320">
        <v>-67886.899999999994</v>
      </c>
      <c r="AK27" s="318">
        <v>-288319.49</v>
      </c>
      <c r="AL27" s="319">
        <v>-220708.55</v>
      </c>
      <c r="AM27" s="320">
        <v>-67610.9399999999</v>
      </c>
      <c r="AN27" s="318">
        <v>-287142.69</v>
      </c>
      <c r="AO27" s="319">
        <v>-219807.71</v>
      </c>
      <c r="AP27" s="320">
        <v>-67334.979999999894</v>
      </c>
      <c r="AQ27" s="318">
        <v>-285965.88</v>
      </c>
      <c r="AR27" s="319">
        <v>-218906.86</v>
      </c>
      <c r="AS27" s="320">
        <v>-67059.019999999902</v>
      </c>
      <c r="AT27" s="318">
        <v>-284789.06</v>
      </c>
      <c r="AU27" s="319">
        <v>-218006</v>
      </c>
      <c r="AV27" s="320">
        <v>-66783.059999999896</v>
      </c>
      <c r="AW27" s="88">
        <f t="shared" si="3"/>
        <v>-291849.91624999995</v>
      </c>
      <c r="AX27" s="88">
        <f t="shared" si="4"/>
        <v>-223399.88625000001</v>
      </c>
      <c r="AY27" s="88">
        <f t="shared" si="5"/>
        <v>-68450.02999999997</v>
      </c>
    </row>
    <row r="28" spans="1:56">
      <c r="A28" s="168">
        <v>20</v>
      </c>
      <c r="B28" s="315" t="s">
        <v>1930</v>
      </c>
      <c r="C28" s="285" t="s">
        <v>1170</v>
      </c>
      <c r="D28" s="285"/>
      <c r="E28" s="285" t="s">
        <v>398</v>
      </c>
      <c r="F28" s="316" t="s">
        <v>839</v>
      </c>
      <c r="G28" s="316" t="s">
        <v>1931</v>
      </c>
      <c r="H28" s="316" t="s">
        <v>398</v>
      </c>
      <c r="I28" s="317" t="s">
        <v>398</v>
      </c>
      <c r="J28" s="321">
        <v>-3872422.04</v>
      </c>
      <c r="K28" s="321">
        <v>0</v>
      </c>
      <c r="L28" s="322">
        <v>-3872422.04</v>
      </c>
      <c r="M28" s="321">
        <v>-3872775.8</v>
      </c>
      <c r="N28" s="321">
        <v>0</v>
      </c>
      <c r="O28" s="322">
        <v>-3872775.8</v>
      </c>
      <c r="P28" s="321">
        <v>-3873129.56</v>
      </c>
      <c r="Q28" s="321">
        <v>0</v>
      </c>
      <c r="R28" s="322">
        <v>-3873129.56</v>
      </c>
      <c r="S28" s="321">
        <v>-3843445.26</v>
      </c>
      <c r="T28" s="321">
        <v>0</v>
      </c>
      <c r="U28" s="322">
        <v>-3843445.26</v>
      </c>
      <c r="V28" s="321">
        <v>-3839198.49</v>
      </c>
      <c r="W28" s="321">
        <v>0</v>
      </c>
      <c r="X28" s="322">
        <v>-3839198.49</v>
      </c>
      <c r="Y28" s="321">
        <v>-3834951.74</v>
      </c>
      <c r="Z28" s="321">
        <v>0</v>
      </c>
      <c r="AA28" s="322">
        <v>-3834951.74</v>
      </c>
      <c r="AB28" s="321">
        <v>-3847427.87</v>
      </c>
      <c r="AC28" s="321">
        <v>0</v>
      </c>
      <c r="AD28" s="322">
        <v>-3847427.87</v>
      </c>
      <c r="AE28" s="321">
        <v>-3845968.28</v>
      </c>
      <c r="AF28" s="321">
        <v>0</v>
      </c>
      <c r="AG28" s="322">
        <v>-3845968.28</v>
      </c>
      <c r="AH28" s="321">
        <v>-3844508.66</v>
      </c>
      <c r="AI28" s="321">
        <v>0</v>
      </c>
      <c r="AJ28" s="322">
        <v>-3844508.66</v>
      </c>
      <c r="AK28" s="321">
        <v>-3893025.52</v>
      </c>
      <c r="AL28" s="321">
        <v>0</v>
      </c>
      <c r="AM28" s="322">
        <v>-3893025.52</v>
      </c>
      <c r="AN28" s="321">
        <v>-3897118.86</v>
      </c>
      <c r="AO28" s="321">
        <v>0</v>
      </c>
      <c r="AP28" s="322">
        <v>-3897118.86</v>
      </c>
      <c r="AQ28" s="321">
        <v>-4047193.88</v>
      </c>
      <c r="AR28" s="321">
        <v>0</v>
      </c>
      <c r="AS28" s="322">
        <v>-4047193.88</v>
      </c>
      <c r="AT28" s="321">
        <v>-4085566.09</v>
      </c>
      <c r="AU28" s="321">
        <v>0</v>
      </c>
      <c r="AV28" s="322">
        <v>-4085566.09</v>
      </c>
      <c r="AW28" s="88">
        <f t="shared" si="3"/>
        <v>-3884811.4987500007</v>
      </c>
      <c r="AX28" s="88">
        <f t="shared" si="4"/>
        <v>0</v>
      </c>
      <c r="AY28" s="88">
        <f t="shared" si="5"/>
        <v>-3884811.4987500007</v>
      </c>
    </row>
    <row r="29" spans="1:56" ht="16.5" thickBot="1">
      <c r="A29" s="168">
        <v>21</v>
      </c>
      <c r="B29" s="315" t="s">
        <v>1932</v>
      </c>
      <c r="C29" s="285" t="s">
        <v>1170</v>
      </c>
      <c r="D29" s="285"/>
      <c r="E29" s="285" t="s">
        <v>398</v>
      </c>
      <c r="F29" s="316" t="s">
        <v>841</v>
      </c>
      <c r="G29" s="316" t="s">
        <v>1933</v>
      </c>
      <c r="H29" s="316" t="s">
        <v>398</v>
      </c>
      <c r="I29" s="317" t="s">
        <v>398</v>
      </c>
      <c r="J29" s="321">
        <v>-13181.63</v>
      </c>
      <c r="K29" s="321">
        <v>0</v>
      </c>
      <c r="L29" s="323">
        <v>-13181.63</v>
      </c>
      <c r="M29" s="321">
        <v>-13129.73</v>
      </c>
      <c r="N29" s="321">
        <v>0</v>
      </c>
      <c r="O29" s="323">
        <v>-13129.73</v>
      </c>
      <c r="P29" s="321">
        <v>-13077.84</v>
      </c>
      <c r="Q29" s="321">
        <v>0</v>
      </c>
      <c r="R29" s="323">
        <v>-13077.84</v>
      </c>
      <c r="S29" s="321">
        <v>-15536.55</v>
      </c>
      <c r="T29" s="321">
        <v>0</v>
      </c>
      <c r="U29" s="323">
        <v>-15536.55</v>
      </c>
      <c r="V29" s="321">
        <v>-15474.65</v>
      </c>
      <c r="W29" s="321">
        <v>0</v>
      </c>
      <c r="X29" s="323">
        <v>-15474.65</v>
      </c>
      <c r="Y29" s="321">
        <v>-15412.75</v>
      </c>
      <c r="Z29" s="321">
        <v>0</v>
      </c>
      <c r="AA29" s="323">
        <v>-15412.75</v>
      </c>
      <c r="AB29" s="321">
        <v>-15350.85</v>
      </c>
      <c r="AC29" s="321">
        <v>0</v>
      </c>
      <c r="AD29" s="323">
        <v>-15350.85</v>
      </c>
      <c r="AE29" s="321">
        <v>-15288.96</v>
      </c>
      <c r="AF29" s="321">
        <v>0</v>
      </c>
      <c r="AG29" s="323">
        <v>-15288.96</v>
      </c>
      <c r="AH29" s="321">
        <v>-15227.06</v>
      </c>
      <c r="AI29" s="321">
        <v>0</v>
      </c>
      <c r="AJ29" s="323">
        <v>-15227.06</v>
      </c>
      <c r="AK29" s="321">
        <v>-15165.16</v>
      </c>
      <c r="AL29" s="321">
        <v>0</v>
      </c>
      <c r="AM29" s="323">
        <v>-15165.16</v>
      </c>
      <c r="AN29" s="321">
        <v>-15103.26</v>
      </c>
      <c r="AO29" s="321">
        <v>0</v>
      </c>
      <c r="AP29" s="323">
        <v>-15103.26</v>
      </c>
      <c r="AQ29" s="321">
        <v>-15041.37</v>
      </c>
      <c r="AR29" s="321">
        <v>0</v>
      </c>
      <c r="AS29" s="323">
        <v>-15041.37</v>
      </c>
      <c r="AT29" s="321">
        <v>-14979.47</v>
      </c>
      <c r="AU29" s="321">
        <v>0</v>
      </c>
      <c r="AV29" s="323">
        <v>-14979.47</v>
      </c>
      <c r="AW29" s="304">
        <f t="shared" si="3"/>
        <v>-14824.060833333331</v>
      </c>
      <c r="AX29" s="304">
        <f t="shared" si="4"/>
        <v>0</v>
      </c>
      <c r="AY29" s="304">
        <f t="shared" si="5"/>
        <v>-14824.060833333331</v>
      </c>
    </row>
    <row r="30" spans="1:56" ht="16.5" thickBot="1">
      <c r="A30" s="168">
        <v>22</v>
      </c>
      <c r="B30" s="290"/>
      <c r="C30" s="285"/>
      <c r="D30" s="285"/>
      <c r="E30" s="285"/>
      <c r="F30" s="285"/>
      <c r="G30" s="285"/>
      <c r="H30" s="285"/>
      <c r="I30" s="286"/>
      <c r="J30" s="305">
        <f t="shared" ref="J30:AV30" si="6">SUM(J26:J29)</f>
        <v>-100108953.87</v>
      </c>
      <c r="K30" s="306">
        <f t="shared" si="6"/>
        <v>-73572373.540000007</v>
      </c>
      <c r="L30" s="307">
        <f t="shared" si="6"/>
        <v>-26536580.329999998</v>
      </c>
      <c r="M30" s="305">
        <f t="shared" si="6"/>
        <v>-100063924.25</v>
      </c>
      <c r="N30" s="306">
        <f t="shared" si="6"/>
        <v>-73624273.319999993</v>
      </c>
      <c r="O30" s="307">
        <f t="shared" si="6"/>
        <v>-26439650.930000003</v>
      </c>
      <c r="P30" s="305">
        <f t="shared" si="6"/>
        <v>-100018894.64000002</v>
      </c>
      <c r="Q30" s="306">
        <f t="shared" si="6"/>
        <v>-73589572.069999993</v>
      </c>
      <c r="R30" s="307">
        <f t="shared" si="6"/>
        <v>-26429322.57</v>
      </c>
      <c r="S30" s="305">
        <f t="shared" si="6"/>
        <v>-99631503.269999996</v>
      </c>
      <c r="T30" s="306">
        <f t="shared" si="6"/>
        <v>-73313865.170000002</v>
      </c>
      <c r="U30" s="307">
        <f t="shared" si="6"/>
        <v>-26317638.099999998</v>
      </c>
      <c r="V30" s="305">
        <f t="shared" si="6"/>
        <v>-99475024.060000002</v>
      </c>
      <c r="W30" s="306">
        <f t="shared" si="6"/>
        <v>-73197378.620000005</v>
      </c>
      <c r="X30" s="307">
        <f t="shared" si="6"/>
        <v>-26277645.439999998</v>
      </c>
      <c r="Y30" s="305">
        <f t="shared" si="6"/>
        <v>-99318544.929999992</v>
      </c>
      <c r="Z30" s="306">
        <f t="shared" si="6"/>
        <v>-73080892.120000005</v>
      </c>
      <c r="AA30" s="307">
        <f t="shared" si="6"/>
        <v>-26237652.810000002</v>
      </c>
      <c r="AB30" s="305">
        <f t="shared" si="6"/>
        <v>-99496723.649999991</v>
      </c>
      <c r="AC30" s="306">
        <f t="shared" si="6"/>
        <v>-73207784.840000004</v>
      </c>
      <c r="AD30" s="307">
        <f t="shared" si="6"/>
        <v>-26288938.810000002</v>
      </c>
      <c r="AE30" s="305">
        <f t="shared" si="6"/>
        <v>-99396020.819999993</v>
      </c>
      <c r="AF30" s="306">
        <f t="shared" si="6"/>
        <v>-73131861.519999996</v>
      </c>
      <c r="AG30" s="307">
        <f t="shared" si="6"/>
        <v>-26264159.300000001</v>
      </c>
      <c r="AH30" s="305">
        <f t="shared" si="6"/>
        <v>-99295317.969999999</v>
      </c>
      <c r="AI30" s="306">
        <f t="shared" si="6"/>
        <v>-73055938.210000008</v>
      </c>
      <c r="AJ30" s="307">
        <f t="shared" si="6"/>
        <v>-26239379.759999998</v>
      </c>
      <c r="AK30" s="305">
        <f t="shared" si="6"/>
        <v>-100573625.72999999</v>
      </c>
      <c r="AL30" s="306">
        <f t="shared" si="6"/>
        <v>-73997390.530000001</v>
      </c>
      <c r="AM30" s="307">
        <f t="shared" si="6"/>
        <v>-26576235.199999999</v>
      </c>
      <c r="AN30" s="305">
        <f t="shared" si="6"/>
        <v>-100626146.29000001</v>
      </c>
      <c r="AO30" s="306">
        <f t="shared" si="6"/>
        <v>-74034508.949999988</v>
      </c>
      <c r="AP30" s="307">
        <f t="shared" si="6"/>
        <v>-26591637.34</v>
      </c>
      <c r="AQ30" s="305">
        <f t="shared" si="6"/>
        <v>-102471279.50999999</v>
      </c>
      <c r="AR30" s="306">
        <f t="shared" si="6"/>
        <v>-75332123.379999995</v>
      </c>
      <c r="AS30" s="307">
        <f t="shared" si="6"/>
        <v>-27139156.129999999</v>
      </c>
      <c r="AT30" s="305">
        <f t="shared" si="6"/>
        <v>-102474633.55000001</v>
      </c>
      <c r="AU30" s="306">
        <f t="shared" si="6"/>
        <v>-75305364.349999994</v>
      </c>
      <c r="AV30" s="307">
        <f t="shared" si="6"/>
        <v>-27169269.199999996</v>
      </c>
      <c r="AW30" s="308">
        <f>SUM(AW25:AW29)</f>
        <v>-100138233.23583335</v>
      </c>
      <c r="AX30" s="309">
        <f t="shared" ref="AX30" si="7">SUM(AX25:AX29)</f>
        <v>-73667038.139583334</v>
      </c>
      <c r="AY30" s="310">
        <f t="shared" ref="AY30" si="8">SUM(AY25:AY29)</f>
        <v>-26471195.096250009</v>
      </c>
    </row>
    <row r="31" spans="1:56" ht="17.25" thickTop="1" thickBot="1">
      <c r="A31" s="168">
        <v>23</v>
      </c>
      <c r="B31" s="324" t="s">
        <v>1957</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row>
    <row r="32" spans="1:56">
      <c r="A32" s="24">
        <v>24</v>
      </c>
      <c r="C32" s="34" t="s">
        <v>1170</v>
      </c>
      <c r="E32" s="34" t="s">
        <v>1948</v>
      </c>
      <c r="F32" s="34" t="s">
        <v>839</v>
      </c>
      <c r="G32" s="34" t="s">
        <v>1949</v>
      </c>
      <c r="H32" s="34"/>
      <c r="I32" s="34"/>
      <c r="J32" s="325">
        <v>38942.18</v>
      </c>
      <c r="K32" s="326"/>
      <c r="L32" s="327"/>
      <c r="M32" s="326">
        <v>38536.93</v>
      </c>
      <c r="N32" s="326"/>
      <c r="O32" s="327"/>
      <c r="P32" s="326">
        <v>38131.699999999997</v>
      </c>
      <c r="Q32" s="326"/>
      <c r="R32" s="327"/>
      <c r="S32" s="326">
        <v>30325.16</v>
      </c>
      <c r="T32" s="326"/>
      <c r="U32" s="327"/>
      <c r="V32" s="326">
        <v>29796.79</v>
      </c>
      <c r="W32" s="326"/>
      <c r="X32" s="327"/>
      <c r="Y32" s="326">
        <v>29268.42</v>
      </c>
      <c r="Z32" s="326"/>
      <c r="AA32" s="327"/>
      <c r="AB32" s="326">
        <v>28716.29</v>
      </c>
      <c r="AC32" s="326"/>
      <c r="AD32" s="327"/>
      <c r="AE32" s="326">
        <v>28183.94</v>
      </c>
      <c r="AF32" s="326"/>
      <c r="AG32" s="327"/>
      <c r="AH32" s="326">
        <v>27651.63</v>
      </c>
      <c r="AI32" s="326"/>
      <c r="AJ32" s="327"/>
      <c r="AK32" s="326">
        <v>28514.799999999999</v>
      </c>
      <c r="AL32" s="326"/>
      <c r="AM32" s="327"/>
      <c r="AN32" s="326">
        <v>28137.52</v>
      </c>
      <c r="AO32" s="326"/>
      <c r="AP32" s="327"/>
      <c r="AQ32" s="326">
        <v>29498.17</v>
      </c>
      <c r="AR32" s="326"/>
      <c r="AS32" s="327"/>
      <c r="AT32" s="326">
        <v>31017.37</v>
      </c>
      <c r="AU32" s="326"/>
      <c r="AV32" s="327"/>
      <c r="AW32" s="88">
        <f t="shared" ref="AW32:AW37" si="9">+(AT32+J32+(M32+P32+S32+V32+Y32+AB32+AE32+AH32+AK32+AN32+AQ32)*2)/24</f>
        <v>30978.427083333339</v>
      </c>
      <c r="AX32" s="34"/>
      <c r="AY32" s="34"/>
    </row>
    <row r="33" spans="1:51">
      <c r="A33" s="24">
        <v>25</v>
      </c>
      <c r="C33" s="34" t="s">
        <v>1170</v>
      </c>
      <c r="E33" s="34" t="s">
        <v>1948</v>
      </c>
      <c r="F33" s="34" t="s">
        <v>839</v>
      </c>
      <c r="G33" s="34" t="s">
        <v>1950</v>
      </c>
      <c r="H33" s="34"/>
      <c r="I33" s="34"/>
      <c r="J33" s="328">
        <v>-214358.06</v>
      </c>
      <c r="K33" s="329"/>
      <c r="L33" s="330"/>
      <c r="M33" s="329">
        <v>-213529.1</v>
      </c>
      <c r="N33" s="329"/>
      <c r="O33" s="330"/>
      <c r="P33" s="329">
        <v>-212700.13</v>
      </c>
      <c r="Q33" s="329"/>
      <c r="R33" s="330"/>
      <c r="S33" s="329">
        <v>-998639.19</v>
      </c>
      <c r="T33" s="329"/>
      <c r="U33" s="330"/>
      <c r="V33" s="329">
        <v>-996839.2</v>
      </c>
      <c r="W33" s="329"/>
      <c r="X33" s="330"/>
      <c r="Y33" s="329">
        <v>-995039.19</v>
      </c>
      <c r="Z33" s="329"/>
      <c r="AA33" s="330"/>
      <c r="AB33" s="329">
        <v>-993281.09</v>
      </c>
      <c r="AC33" s="329"/>
      <c r="AD33" s="330"/>
      <c r="AE33" s="329">
        <v>-991488.07</v>
      </c>
      <c r="AF33" s="329"/>
      <c r="AG33" s="330"/>
      <c r="AH33" s="329">
        <v>-989695.05</v>
      </c>
      <c r="AI33" s="329"/>
      <c r="AJ33" s="330"/>
      <c r="AK33" s="329">
        <v>-1003601.37</v>
      </c>
      <c r="AL33" s="329"/>
      <c r="AM33" s="330"/>
      <c r="AN33" s="329">
        <v>-1003552.74</v>
      </c>
      <c r="AO33" s="329"/>
      <c r="AP33" s="330"/>
      <c r="AQ33" s="329">
        <v>-944033.17</v>
      </c>
      <c r="AR33" s="329"/>
      <c r="AS33" s="330"/>
      <c r="AT33" s="329">
        <v>-903902.86</v>
      </c>
      <c r="AU33" s="329"/>
      <c r="AV33" s="330"/>
      <c r="AW33" s="88">
        <f t="shared" si="9"/>
        <v>-825127.39666666684</v>
      </c>
      <c r="AX33" s="34"/>
      <c r="AY33" s="34"/>
    </row>
    <row r="34" spans="1:51">
      <c r="A34" s="24">
        <v>26</v>
      </c>
      <c r="C34" s="34" t="s">
        <v>1170</v>
      </c>
      <c r="E34" s="34" t="s">
        <v>1948</v>
      </c>
      <c r="F34" s="34" t="s">
        <v>839</v>
      </c>
      <c r="G34" s="34" t="s">
        <v>1951</v>
      </c>
      <c r="H34" s="34"/>
      <c r="I34" s="34"/>
      <c r="J34" s="328">
        <v>581511.75</v>
      </c>
      <c r="K34" s="329"/>
      <c r="L34" s="330"/>
      <c r="M34" s="329">
        <v>581511.75</v>
      </c>
      <c r="N34" s="329"/>
      <c r="O34" s="330"/>
      <c r="P34" s="329">
        <v>581511.75</v>
      </c>
      <c r="Q34" s="329"/>
      <c r="R34" s="330"/>
      <c r="S34" s="329">
        <v>581511.75</v>
      </c>
      <c r="T34" s="329"/>
      <c r="U34" s="330"/>
      <c r="V34" s="329">
        <v>581511.75</v>
      </c>
      <c r="W34" s="329"/>
      <c r="X34" s="330"/>
      <c r="Y34" s="329">
        <v>581511.75</v>
      </c>
      <c r="Z34" s="329"/>
      <c r="AA34" s="330"/>
      <c r="AB34" s="329">
        <v>581511.75</v>
      </c>
      <c r="AC34" s="329"/>
      <c r="AD34" s="330"/>
      <c r="AE34" s="329">
        <v>581511.75</v>
      </c>
      <c r="AF34" s="329"/>
      <c r="AG34" s="330"/>
      <c r="AH34" s="329">
        <v>581511.75</v>
      </c>
      <c r="AI34" s="329"/>
      <c r="AJ34" s="330"/>
      <c r="AK34" s="329">
        <v>581511.75</v>
      </c>
      <c r="AL34" s="329"/>
      <c r="AM34" s="330"/>
      <c r="AN34" s="329">
        <v>581511.75</v>
      </c>
      <c r="AO34" s="329"/>
      <c r="AP34" s="330"/>
      <c r="AQ34" s="329">
        <v>581511.75</v>
      </c>
      <c r="AR34" s="329"/>
      <c r="AS34" s="330"/>
      <c r="AT34" s="329">
        <v>542744.30000000005</v>
      </c>
      <c r="AU34" s="329"/>
      <c r="AV34" s="330"/>
      <c r="AW34" s="88">
        <f t="shared" si="9"/>
        <v>579896.43958333333</v>
      </c>
      <c r="AX34" s="34"/>
      <c r="AY34" s="34"/>
    </row>
    <row r="35" spans="1:51">
      <c r="A35" s="168">
        <v>27</v>
      </c>
      <c r="C35" s="34" t="s">
        <v>1170</v>
      </c>
      <c r="E35" s="34" t="s">
        <v>1910</v>
      </c>
      <c r="F35" s="34" t="s">
        <v>839</v>
      </c>
      <c r="G35" s="34" t="s">
        <v>1952</v>
      </c>
      <c r="H35" s="34"/>
      <c r="I35" s="34"/>
      <c r="J35" s="328">
        <v>883065.23</v>
      </c>
      <c r="K35" s="329"/>
      <c r="L35" s="330"/>
      <c r="M35" s="329">
        <v>873875.83</v>
      </c>
      <c r="N35" s="329"/>
      <c r="O35" s="330"/>
      <c r="P35" s="329">
        <v>864686.41</v>
      </c>
      <c r="Q35" s="329"/>
      <c r="R35" s="330"/>
      <c r="S35" s="329">
        <v>576540.86</v>
      </c>
      <c r="T35" s="329"/>
      <c r="U35" s="330"/>
      <c r="V35" s="329">
        <v>566495.44999999995</v>
      </c>
      <c r="W35" s="329"/>
      <c r="X35" s="330"/>
      <c r="Y35" s="329">
        <v>556450.04</v>
      </c>
      <c r="Z35" s="329"/>
      <c r="AA35" s="330"/>
      <c r="AB35" s="329">
        <v>545952.99</v>
      </c>
      <c r="AC35" s="329"/>
      <c r="AD35" s="330"/>
      <c r="AE35" s="329">
        <v>535832.31999999995</v>
      </c>
      <c r="AF35" s="329"/>
      <c r="AG35" s="330"/>
      <c r="AH35" s="329">
        <v>525711.64</v>
      </c>
      <c r="AI35" s="329"/>
      <c r="AJ35" s="330"/>
      <c r="AK35" s="329">
        <v>542122.19999999995</v>
      </c>
      <c r="AL35" s="329"/>
      <c r="AM35" s="330"/>
      <c r="AN35" s="329">
        <v>534949.46</v>
      </c>
      <c r="AO35" s="329"/>
      <c r="AP35" s="330"/>
      <c r="AQ35" s="329">
        <v>560818.09</v>
      </c>
      <c r="AR35" s="329"/>
      <c r="AS35" s="330"/>
      <c r="AT35" s="329">
        <v>589700.96</v>
      </c>
      <c r="AU35" s="329"/>
      <c r="AV35" s="330"/>
      <c r="AW35" s="88">
        <f t="shared" si="9"/>
        <v>618318.19874999998</v>
      </c>
      <c r="AX35" s="34"/>
      <c r="AY35" s="34"/>
    </row>
    <row r="36" spans="1:51">
      <c r="A36" s="168">
        <v>28</v>
      </c>
      <c r="C36" s="34" t="s">
        <v>1170</v>
      </c>
      <c r="E36" s="34" t="s">
        <v>1910</v>
      </c>
      <c r="F36" s="34" t="s">
        <v>839</v>
      </c>
      <c r="G36" s="34" t="s">
        <v>1953</v>
      </c>
      <c r="H36" s="34"/>
      <c r="I36" s="34"/>
      <c r="J36" s="328">
        <v>1854336.33</v>
      </c>
      <c r="K36" s="329"/>
      <c r="L36" s="330"/>
      <c r="M36" s="329">
        <v>1836441.33</v>
      </c>
      <c r="N36" s="329"/>
      <c r="O36" s="330"/>
      <c r="P36" s="329">
        <v>1818546.33</v>
      </c>
      <c r="Q36" s="329"/>
      <c r="R36" s="330"/>
      <c r="S36" s="329">
        <v>2069357.94</v>
      </c>
      <c r="T36" s="329"/>
      <c r="U36" s="330"/>
      <c r="V36" s="329">
        <v>2048902.18</v>
      </c>
      <c r="W36" s="329"/>
      <c r="X36" s="330"/>
      <c r="Y36" s="329">
        <v>2028446.39</v>
      </c>
      <c r="Z36" s="329"/>
      <c r="AA36" s="330"/>
      <c r="AB36" s="329">
        <v>2007193.81</v>
      </c>
      <c r="AC36" s="329"/>
      <c r="AD36" s="330"/>
      <c r="AE36" s="329">
        <v>1986605.22</v>
      </c>
      <c r="AF36" s="329"/>
      <c r="AG36" s="330"/>
      <c r="AH36" s="329">
        <v>1966016.64</v>
      </c>
      <c r="AI36" s="329"/>
      <c r="AJ36" s="330"/>
      <c r="AK36" s="329">
        <v>2010399.81</v>
      </c>
      <c r="AL36" s="329"/>
      <c r="AM36" s="330"/>
      <c r="AN36" s="329">
        <v>1997030.29</v>
      </c>
      <c r="AO36" s="329"/>
      <c r="AP36" s="330"/>
      <c r="AQ36" s="329">
        <v>1985552.47</v>
      </c>
      <c r="AR36" s="329"/>
      <c r="AS36" s="330"/>
      <c r="AT36" s="329">
        <v>1999061.83</v>
      </c>
      <c r="AU36" s="329"/>
      <c r="AV36" s="330"/>
      <c r="AW36" s="88">
        <f t="shared" si="9"/>
        <v>1973432.6241666668</v>
      </c>
      <c r="AX36" s="34"/>
      <c r="AY36" s="34"/>
    </row>
    <row r="37" spans="1:51">
      <c r="A37" s="168">
        <v>29</v>
      </c>
      <c r="C37" s="34" t="s">
        <v>1170</v>
      </c>
      <c r="E37" s="34" t="s">
        <v>1910</v>
      </c>
      <c r="F37" s="34" t="s">
        <v>839</v>
      </c>
      <c r="G37" s="34" t="s">
        <v>1954</v>
      </c>
      <c r="H37" s="34"/>
      <c r="I37" s="34"/>
      <c r="J37" s="331">
        <v>-161895.75</v>
      </c>
      <c r="K37" s="329"/>
      <c r="L37" s="330"/>
      <c r="M37" s="329">
        <v>-161895.75</v>
      </c>
      <c r="N37" s="329"/>
      <c r="O37" s="330"/>
      <c r="P37" s="329">
        <v>-161895.75</v>
      </c>
      <c r="Q37" s="329"/>
      <c r="R37" s="330"/>
      <c r="S37" s="329">
        <v>-161895.75</v>
      </c>
      <c r="T37" s="329"/>
      <c r="U37" s="330"/>
      <c r="V37" s="329">
        <v>-161895.75</v>
      </c>
      <c r="W37" s="329"/>
      <c r="X37" s="330"/>
      <c r="Y37" s="329">
        <v>-161895.75</v>
      </c>
      <c r="Z37" s="329"/>
      <c r="AA37" s="330"/>
      <c r="AB37" s="329">
        <v>-161895.75</v>
      </c>
      <c r="AC37" s="329"/>
      <c r="AD37" s="330"/>
      <c r="AE37" s="329">
        <v>-161895.75</v>
      </c>
      <c r="AF37" s="329"/>
      <c r="AG37" s="330"/>
      <c r="AH37" s="329">
        <v>-161895.75</v>
      </c>
      <c r="AI37" s="329"/>
      <c r="AJ37" s="330"/>
      <c r="AK37" s="329">
        <v>-161895.75</v>
      </c>
      <c r="AL37" s="329"/>
      <c r="AM37" s="330"/>
      <c r="AN37" s="329">
        <v>-161895.75</v>
      </c>
      <c r="AO37" s="329"/>
      <c r="AP37" s="330"/>
      <c r="AQ37" s="329">
        <v>-161895.75</v>
      </c>
      <c r="AR37" s="329"/>
      <c r="AS37" s="330"/>
      <c r="AT37" s="329">
        <v>-151102.70000000001</v>
      </c>
      <c r="AU37" s="329"/>
      <c r="AV37" s="330"/>
      <c r="AW37" s="88">
        <f t="shared" si="9"/>
        <v>-161446.03958333333</v>
      </c>
      <c r="AX37" s="34"/>
      <c r="AY37" s="34"/>
    </row>
    <row r="38" spans="1:51">
      <c r="A38" s="168">
        <v>30</v>
      </c>
      <c r="C38" s="34"/>
      <c r="E38" s="34"/>
      <c r="F38" s="34"/>
      <c r="G38" s="34"/>
      <c r="H38" s="34"/>
      <c r="I38" s="34"/>
      <c r="J38" s="332">
        <f>SUM(J32:J37)</f>
        <v>2981601.68</v>
      </c>
      <c r="K38" s="329"/>
      <c r="L38" s="330"/>
      <c r="M38" s="332">
        <f>SUM(M32:M37)</f>
        <v>2954940.99</v>
      </c>
      <c r="N38" s="329"/>
      <c r="O38" s="330"/>
      <c r="P38" s="332">
        <f>SUM(P32:P37)</f>
        <v>2928280.31</v>
      </c>
      <c r="Q38" s="329"/>
      <c r="R38" s="330"/>
      <c r="S38" s="332">
        <f>SUM(S32:S37)</f>
        <v>2097200.77</v>
      </c>
      <c r="T38" s="329"/>
      <c r="U38" s="330"/>
      <c r="V38" s="332">
        <f>SUM(V32:V37)</f>
        <v>2067971.2199999997</v>
      </c>
      <c r="W38" s="329"/>
      <c r="X38" s="330"/>
      <c r="Y38" s="332">
        <f>SUM(Y32:Y37)</f>
        <v>2038741.6600000001</v>
      </c>
      <c r="Z38" s="329"/>
      <c r="AA38" s="330"/>
      <c r="AB38" s="332">
        <f>SUM(AB32:AB37)</f>
        <v>2008198</v>
      </c>
      <c r="AC38" s="329"/>
      <c r="AD38" s="330"/>
      <c r="AE38" s="332">
        <f>SUM(AE32:AE37)</f>
        <v>1978749.4100000001</v>
      </c>
      <c r="AF38" s="329"/>
      <c r="AG38" s="330"/>
      <c r="AH38" s="332">
        <f>SUM(AH32:AH37)</f>
        <v>1949300.8599999999</v>
      </c>
      <c r="AI38" s="329"/>
      <c r="AJ38" s="330"/>
      <c r="AK38" s="332">
        <f>SUM(AK32:AK37)</f>
        <v>1997051.44</v>
      </c>
      <c r="AL38" s="329"/>
      <c r="AM38" s="330"/>
      <c r="AN38" s="332">
        <f>SUM(AN32:AN37)</f>
        <v>1976180.5300000003</v>
      </c>
      <c r="AO38" s="329"/>
      <c r="AP38" s="330"/>
      <c r="AQ38" s="332">
        <f>SUM(AQ32:AQ37)</f>
        <v>2051451.56</v>
      </c>
      <c r="AR38" s="329"/>
      <c r="AS38" s="330"/>
      <c r="AT38" s="332">
        <f>SUM(AT32:AT37)</f>
        <v>2107518.9</v>
      </c>
      <c r="AU38" s="329"/>
      <c r="AV38" s="330"/>
      <c r="AW38" s="332">
        <f>SUM(AW32:AW37)</f>
        <v>2216052.2533333334</v>
      </c>
      <c r="AX38" s="34"/>
      <c r="AY38" s="34"/>
    </row>
    <row r="39" spans="1:51">
      <c r="A39" s="168">
        <v>31</v>
      </c>
      <c r="C39" s="34"/>
      <c r="E39" s="34"/>
      <c r="F39" s="34"/>
      <c r="G39" s="34"/>
      <c r="H39" s="34"/>
      <c r="I39" s="34"/>
      <c r="J39" s="328"/>
      <c r="K39" s="329"/>
      <c r="L39" s="330"/>
      <c r="M39" s="329"/>
      <c r="N39" s="329"/>
      <c r="O39" s="330"/>
      <c r="P39" s="329"/>
      <c r="Q39" s="329"/>
      <c r="R39" s="330"/>
      <c r="S39" s="329"/>
      <c r="T39" s="329"/>
      <c r="U39" s="330"/>
      <c r="V39" s="329"/>
      <c r="W39" s="329"/>
      <c r="X39" s="330"/>
      <c r="Y39" s="329"/>
      <c r="Z39" s="329"/>
      <c r="AA39" s="330"/>
      <c r="AB39" s="329"/>
      <c r="AC39" s="329"/>
      <c r="AD39" s="330"/>
      <c r="AE39" s="329"/>
      <c r="AF39" s="329"/>
      <c r="AG39" s="330"/>
      <c r="AH39" s="329"/>
      <c r="AI39" s="329"/>
      <c r="AJ39" s="330"/>
      <c r="AK39" s="329"/>
      <c r="AL39" s="329"/>
      <c r="AM39" s="330"/>
      <c r="AN39" s="329"/>
      <c r="AO39" s="329"/>
      <c r="AP39" s="330"/>
      <c r="AQ39" s="329"/>
      <c r="AR39" s="329"/>
      <c r="AS39" s="330"/>
      <c r="AT39" s="329"/>
      <c r="AU39" s="329"/>
      <c r="AV39" s="330"/>
      <c r="AW39" s="34"/>
      <c r="AX39" s="34"/>
      <c r="AY39" s="34"/>
    </row>
    <row r="40" spans="1:51">
      <c r="A40" s="168">
        <v>32</v>
      </c>
      <c r="C40" s="34" t="s">
        <v>1170</v>
      </c>
      <c r="E40" s="34" t="s">
        <v>1948</v>
      </c>
      <c r="F40" s="34" t="s">
        <v>841</v>
      </c>
      <c r="G40" s="34" t="s">
        <v>1951</v>
      </c>
      <c r="H40" s="34"/>
      <c r="I40" s="34"/>
      <c r="J40" s="328">
        <v>-1866272.87</v>
      </c>
      <c r="K40" s="329"/>
      <c r="L40" s="330"/>
      <c r="M40" s="329">
        <v>-1866801.81</v>
      </c>
      <c r="N40" s="329"/>
      <c r="O40" s="330"/>
      <c r="P40" s="329">
        <v>-1867330.76</v>
      </c>
      <c r="Q40" s="329"/>
      <c r="R40" s="330"/>
      <c r="S40" s="329">
        <v>-2160511.04</v>
      </c>
      <c r="T40" s="329"/>
      <c r="U40" s="330"/>
      <c r="V40" s="329">
        <v>-2161140.1</v>
      </c>
      <c r="W40" s="329"/>
      <c r="X40" s="330"/>
      <c r="Y40" s="329">
        <v>-2161769.15</v>
      </c>
      <c r="Z40" s="329"/>
      <c r="AA40" s="330"/>
      <c r="AB40" s="329">
        <v>-2161571.6</v>
      </c>
      <c r="AC40" s="329"/>
      <c r="AD40" s="330"/>
      <c r="AE40" s="329">
        <v>-2162063.12</v>
      </c>
      <c r="AF40" s="329"/>
      <c r="AG40" s="330"/>
      <c r="AH40" s="329">
        <v>-2162554.64</v>
      </c>
      <c r="AI40" s="329"/>
      <c r="AJ40" s="330"/>
      <c r="AK40" s="329">
        <v>-2157345.3199999998</v>
      </c>
      <c r="AL40" s="329"/>
      <c r="AM40" s="330"/>
      <c r="AN40" s="329">
        <v>-2157203.5499999998</v>
      </c>
      <c r="AO40" s="329"/>
      <c r="AP40" s="330"/>
      <c r="AQ40" s="329">
        <v>-2157061.7999999998</v>
      </c>
      <c r="AR40" s="329"/>
      <c r="AS40" s="330"/>
      <c r="AT40" s="329">
        <v>-2094061.52</v>
      </c>
      <c r="AU40" s="329"/>
      <c r="AV40" s="330"/>
      <c r="AW40" s="88">
        <f t="shared" ref="AW40:AW41" si="10">+(AT40+J40+(M40+P40+S40+V40+Y40+AB40+AE40+AH40+AK40+AN40+AQ40)*2)/24</f>
        <v>-2096293.3404166671</v>
      </c>
      <c r="AX40" s="34"/>
      <c r="AY40" s="34"/>
    </row>
    <row r="41" spans="1:51">
      <c r="A41" s="168">
        <v>33</v>
      </c>
      <c r="C41" s="34" t="s">
        <v>1170</v>
      </c>
      <c r="E41" s="34" t="s">
        <v>1910</v>
      </c>
      <c r="F41" s="34" t="s">
        <v>841</v>
      </c>
      <c r="G41" s="34" t="s">
        <v>1954</v>
      </c>
      <c r="H41" s="34"/>
      <c r="I41" s="34"/>
      <c r="J41" s="331">
        <v>-34608022.850000001</v>
      </c>
      <c r="K41" s="329"/>
      <c r="L41" s="330"/>
      <c r="M41" s="329">
        <v>-34620017.43</v>
      </c>
      <c r="N41" s="329"/>
      <c r="O41" s="330"/>
      <c r="P41" s="329">
        <v>-34632012.07</v>
      </c>
      <c r="Q41" s="329"/>
      <c r="R41" s="330"/>
      <c r="S41" s="329">
        <v>-34594533.43</v>
      </c>
      <c r="T41" s="329"/>
      <c r="U41" s="330"/>
      <c r="V41" s="329">
        <v>-34606492.979999997</v>
      </c>
      <c r="W41" s="329"/>
      <c r="X41" s="330"/>
      <c r="Y41" s="329">
        <v>-34618452.57</v>
      </c>
      <c r="Z41" s="329"/>
      <c r="AA41" s="330"/>
      <c r="AB41" s="329">
        <v>-34614696.380000003</v>
      </c>
      <c r="AC41" s="329"/>
      <c r="AD41" s="330"/>
      <c r="AE41" s="329">
        <v>-34624041.229999997</v>
      </c>
      <c r="AF41" s="329"/>
      <c r="AG41" s="330"/>
      <c r="AH41" s="329">
        <v>-34633386.079999998</v>
      </c>
      <c r="AI41" s="329"/>
      <c r="AJ41" s="330"/>
      <c r="AK41" s="329">
        <v>-34534346.850000001</v>
      </c>
      <c r="AL41" s="329"/>
      <c r="AM41" s="330"/>
      <c r="AN41" s="329">
        <v>-34531651.57</v>
      </c>
      <c r="AO41" s="329"/>
      <c r="AP41" s="330"/>
      <c r="AQ41" s="329">
        <v>-34528956.350000001</v>
      </c>
      <c r="AR41" s="329"/>
      <c r="AS41" s="330"/>
      <c r="AT41" s="329">
        <v>-33763265.57</v>
      </c>
      <c r="AU41" s="329"/>
      <c r="AV41" s="330"/>
      <c r="AW41" s="88">
        <f t="shared" si="10"/>
        <v>-34560352.595833331</v>
      </c>
      <c r="AX41" s="34"/>
      <c r="AY41" s="34"/>
    </row>
    <row r="42" spans="1:51">
      <c r="A42" s="168">
        <v>34</v>
      </c>
      <c r="B42" s="34"/>
      <c r="C42" s="34"/>
      <c r="D42" s="34"/>
      <c r="E42" s="34"/>
      <c r="F42" s="34"/>
      <c r="G42" s="34"/>
      <c r="H42" s="34"/>
      <c r="I42" s="34"/>
      <c r="J42" s="328">
        <f>+J40+J41</f>
        <v>-36474295.719999999</v>
      </c>
      <c r="K42" s="329"/>
      <c r="L42" s="330"/>
      <c r="M42" s="328">
        <f>+M40+M41</f>
        <v>-36486819.240000002</v>
      </c>
      <c r="N42" s="329"/>
      <c r="O42" s="330"/>
      <c r="P42" s="328">
        <f>+P40+P41</f>
        <v>-36499342.829999998</v>
      </c>
      <c r="Q42" s="329"/>
      <c r="R42" s="330"/>
      <c r="S42" s="328">
        <f>+S40+S41</f>
        <v>-36755044.469999999</v>
      </c>
      <c r="T42" s="329"/>
      <c r="U42" s="330"/>
      <c r="V42" s="328">
        <f>+V40+V41</f>
        <v>-36767633.079999998</v>
      </c>
      <c r="W42" s="329"/>
      <c r="X42" s="330"/>
      <c r="Y42" s="328">
        <f>+Y40+Y41</f>
        <v>-36780221.719999999</v>
      </c>
      <c r="Z42" s="329"/>
      <c r="AA42" s="330"/>
      <c r="AB42" s="328">
        <f>+AB40+AB41</f>
        <v>-36776267.980000004</v>
      </c>
      <c r="AC42" s="329"/>
      <c r="AD42" s="330"/>
      <c r="AE42" s="328">
        <f>+AE40+AE41</f>
        <v>-36786104.349999994</v>
      </c>
      <c r="AF42" s="329"/>
      <c r="AG42" s="330"/>
      <c r="AH42" s="328">
        <f>+AH40+AH41</f>
        <v>-36795940.719999999</v>
      </c>
      <c r="AI42" s="329"/>
      <c r="AJ42" s="330"/>
      <c r="AK42" s="328">
        <f>+AK40+AK41</f>
        <v>-36691692.170000002</v>
      </c>
      <c r="AL42" s="329"/>
      <c r="AM42" s="330"/>
      <c r="AN42" s="328">
        <f>+AN40+AN41</f>
        <v>-36688855.119999997</v>
      </c>
      <c r="AO42" s="329"/>
      <c r="AP42" s="330"/>
      <c r="AQ42" s="328">
        <f>+AQ40+AQ41</f>
        <v>-36686018.149999999</v>
      </c>
      <c r="AR42" s="329"/>
      <c r="AS42" s="330"/>
      <c r="AT42" s="328">
        <f>+AT40+AT41</f>
        <v>-35857327.090000004</v>
      </c>
      <c r="AU42" s="329"/>
      <c r="AV42" s="330"/>
      <c r="AW42" s="328">
        <f>+AW40+AW41</f>
        <v>-36656645.936250001</v>
      </c>
      <c r="AX42" s="34"/>
      <c r="AY42" s="34"/>
    </row>
    <row r="43" spans="1:51">
      <c r="A43" s="168">
        <v>35</v>
      </c>
      <c r="B43" s="34"/>
      <c r="C43" s="34"/>
      <c r="D43" s="34"/>
      <c r="E43" s="34"/>
      <c r="F43" s="34"/>
      <c r="G43" s="34"/>
      <c r="H43" s="34"/>
      <c r="I43" s="34"/>
      <c r="J43" s="328"/>
      <c r="K43" s="329"/>
      <c r="L43" s="330"/>
      <c r="M43" s="328"/>
      <c r="N43" s="329"/>
      <c r="O43" s="330"/>
      <c r="P43" s="328"/>
      <c r="Q43" s="329"/>
      <c r="R43" s="330"/>
      <c r="S43" s="328"/>
      <c r="T43" s="329"/>
      <c r="U43" s="330"/>
      <c r="V43" s="328"/>
      <c r="W43" s="329"/>
      <c r="X43" s="330"/>
      <c r="Y43" s="328"/>
      <c r="Z43" s="329"/>
      <c r="AA43" s="330"/>
      <c r="AB43" s="328"/>
      <c r="AC43" s="329"/>
      <c r="AD43" s="330"/>
      <c r="AE43" s="328"/>
      <c r="AF43" s="329"/>
      <c r="AG43" s="330"/>
      <c r="AH43" s="328"/>
      <c r="AI43" s="329"/>
      <c r="AJ43" s="330"/>
      <c r="AK43" s="328"/>
      <c r="AL43" s="329"/>
      <c r="AM43" s="330"/>
      <c r="AN43" s="328"/>
      <c r="AO43" s="329"/>
      <c r="AP43" s="330"/>
      <c r="AQ43" s="328"/>
      <c r="AR43" s="329"/>
      <c r="AS43" s="330"/>
      <c r="AT43" s="328"/>
      <c r="AU43" s="329"/>
      <c r="AV43" s="330"/>
      <c r="AW43" s="328"/>
      <c r="AX43" s="34"/>
      <c r="AY43" s="34"/>
    </row>
    <row r="44" spans="1:51">
      <c r="A44" s="168">
        <v>36</v>
      </c>
      <c r="B44" s="34"/>
      <c r="C44" s="34"/>
      <c r="D44" s="34"/>
      <c r="E44" s="34"/>
      <c r="F44" s="34"/>
      <c r="G44" s="34"/>
      <c r="H44" s="34"/>
      <c r="I44" s="34"/>
      <c r="J44" s="333">
        <f>+J30+J38+J42</f>
        <v>-133601647.91</v>
      </c>
      <c r="K44" s="329"/>
      <c r="L44" s="330"/>
      <c r="M44" s="333">
        <f>+M30+M38+M42</f>
        <v>-133595802.5</v>
      </c>
      <c r="N44" s="329"/>
      <c r="O44" s="330"/>
      <c r="P44" s="333">
        <f>+P30+P38+P42</f>
        <v>-133589957.16000001</v>
      </c>
      <c r="Q44" s="329"/>
      <c r="R44" s="330"/>
      <c r="S44" s="333">
        <f>+S30+S38+S42</f>
        <v>-134289346.97</v>
      </c>
      <c r="T44" s="329"/>
      <c r="U44" s="330"/>
      <c r="V44" s="333">
        <f>+V30+V38+V42</f>
        <v>-134174685.92</v>
      </c>
      <c r="W44" s="329"/>
      <c r="X44" s="330"/>
      <c r="Y44" s="333">
        <f>+Y30+Y38+Y42</f>
        <v>-134060024.98999999</v>
      </c>
      <c r="Z44" s="329"/>
      <c r="AA44" s="330"/>
      <c r="AB44" s="333">
        <f>+AB30+AB38+AB42</f>
        <v>-134264793.63</v>
      </c>
      <c r="AC44" s="329"/>
      <c r="AD44" s="330"/>
      <c r="AE44" s="333">
        <f>+AE30+AE38+AE42</f>
        <v>-134203375.75999999</v>
      </c>
      <c r="AF44" s="329"/>
      <c r="AG44" s="330"/>
      <c r="AH44" s="333">
        <f>+AH30+AH38+AH42</f>
        <v>-134141957.83</v>
      </c>
      <c r="AI44" s="329"/>
      <c r="AJ44" s="330"/>
      <c r="AK44" s="333">
        <f>+AK30+AK38+AK42</f>
        <v>-135268266.45999998</v>
      </c>
      <c r="AL44" s="329"/>
      <c r="AM44" s="330"/>
      <c r="AN44" s="333">
        <f>+AN30+AN38+AN42</f>
        <v>-135338820.88</v>
      </c>
      <c r="AO44" s="329"/>
      <c r="AP44" s="330"/>
      <c r="AQ44" s="333">
        <f>+AQ30+AQ38+AQ42</f>
        <v>-137105846.09999999</v>
      </c>
      <c r="AR44" s="329"/>
      <c r="AS44" s="330"/>
      <c r="AT44" s="333">
        <f>+AT30+AT38+AT42</f>
        <v>-136224441.74000001</v>
      </c>
      <c r="AU44" s="329"/>
      <c r="AV44" s="330"/>
      <c r="AW44" s="333">
        <f>+AW30+AW38+AW42</f>
        <v>-134578826.91875002</v>
      </c>
      <c r="AX44" s="34"/>
      <c r="AY44" s="34"/>
    </row>
    <row r="45" spans="1:51" ht="16.5" thickBot="1">
      <c r="A45" s="168">
        <v>37</v>
      </c>
      <c r="B45" s="34"/>
      <c r="C45" s="34"/>
      <c r="D45" s="34"/>
      <c r="E45" s="34"/>
      <c r="F45" s="34"/>
      <c r="G45" s="34"/>
      <c r="H45" s="34"/>
      <c r="I45" s="34"/>
      <c r="J45" s="328"/>
      <c r="K45" s="329"/>
      <c r="L45" s="330"/>
      <c r="M45" s="328"/>
      <c r="N45" s="329"/>
      <c r="O45" s="330"/>
      <c r="P45" s="328"/>
      <c r="Q45" s="329"/>
      <c r="R45" s="330"/>
      <c r="S45" s="328"/>
      <c r="T45" s="329"/>
      <c r="U45" s="330"/>
      <c r="V45" s="328"/>
      <c r="W45" s="329"/>
      <c r="X45" s="330"/>
      <c r="Y45" s="328"/>
      <c r="Z45" s="329"/>
      <c r="AA45" s="330"/>
      <c r="AB45" s="328"/>
      <c r="AC45" s="329"/>
      <c r="AD45" s="330"/>
      <c r="AE45" s="328"/>
      <c r="AF45" s="329"/>
      <c r="AG45" s="330"/>
      <c r="AH45" s="328"/>
      <c r="AI45" s="329"/>
      <c r="AJ45" s="330"/>
      <c r="AK45" s="328"/>
      <c r="AL45" s="329"/>
      <c r="AM45" s="330"/>
      <c r="AN45" s="328"/>
      <c r="AO45" s="329"/>
      <c r="AP45" s="330"/>
      <c r="AQ45" s="328"/>
      <c r="AR45" s="329"/>
      <c r="AS45" s="330"/>
      <c r="AT45" s="328"/>
      <c r="AU45" s="329"/>
      <c r="AV45" s="330"/>
      <c r="AW45" s="328"/>
      <c r="AX45" s="34"/>
      <c r="AY45" s="34"/>
    </row>
    <row r="46" spans="1:51">
      <c r="A46" s="24">
        <v>38</v>
      </c>
      <c r="B46" s="1261" t="s">
        <v>2083</v>
      </c>
      <c r="C46" s="1262"/>
      <c r="D46" s="1262"/>
      <c r="E46" s="1263"/>
      <c r="F46" s="34"/>
      <c r="G46" s="34"/>
      <c r="H46" s="34"/>
      <c r="I46" s="34"/>
      <c r="J46" s="328"/>
      <c r="K46" s="329"/>
      <c r="L46" s="330"/>
      <c r="M46" s="328"/>
      <c r="N46" s="329"/>
      <c r="O46" s="330"/>
      <c r="P46" s="328"/>
      <c r="Q46" s="329"/>
      <c r="R46" s="330"/>
      <c r="S46" s="328"/>
      <c r="T46" s="329"/>
      <c r="U46" s="330"/>
      <c r="V46" s="328"/>
      <c r="W46" s="329"/>
      <c r="X46" s="330"/>
      <c r="Y46" s="328"/>
      <c r="Z46" s="329"/>
      <c r="AA46" s="330"/>
      <c r="AB46" s="328"/>
      <c r="AC46" s="329"/>
      <c r="AD46" s="330"/>
      <c r="AE46" s="328"/>
      <c r="AF46" s="329"/>
      <c r="AG46" s="330"/>
      <c r="AH46" s="328"/>
      <c r="AI46" s="329"/>
      <c r="AJ46" s="330"/>
      <c r="AK46" s="328"/>
      <c r="AL46" s="329"/>
      <c r="AM46" s="330"/>
      <c r="AN46" s="328"/>
      <c r="AO46" s="329"/>
      <c r="AP46" s="330"/>
      <c r="AQ46" s="328"/>
      <c r="AR46" s="329"/>
      <c r="AS46" s="330"/>
      <c r="AT46" s="328"/>
      <c r="AU46" s="329"/>
      <c r="AV46" s="330"/>
      <c r="AW46" s="328"/>
      <c r="AX46" s="34"/>
      <c r="AY46" s="34"/>
    </row>
    <row r="47" spans="1:51">
      <c r="A47" s="24">
        <v>39</v>
      </c>
      <c r="B47" s="1264"/>
      <c r="C47" s="1265"/>
      <c r="D47" s="1265"/>
      <c r="E47" s="1266"/>
      <c r="F47" s="34"/>
      <c r="G47" s="34" t="s">
        <v>1955</v>
      </c>
      <c r="H47" s="34"/>
      <c r="I47" s="34"/>
      <c r="J47" s="328">
        <f>+J26+J38+J28</f>
        <v>-96815259.790000007</v>
      </c>
      <c r="K47" s="329"/>
      <c r="L47" s="330"/>
      <c r="M47" s="328">
        <f>+M26+M38+M28</f>
        <v>-96798119.579999998</v>
      </c>
      <c r="N47" s="329"/>
      <c r="O47" s="330"/>
      <c r="P47" s="328">
        <f>+P26+P38+P28</f>
        <v>-96780979.340000004</v>
      </c>
      <c r="Q47" s="329"/>
      <c r="R47" s="330"/>
      <c r="S47" s="328">
        <f>+S26+S38+S28</f>
        <v>-97223385.600000009</v>
      </c>
      <c r="T47" s="329"/>
      <c r="U47" s="330"/>
      <c r="V47" s="328">
        <f>+V26+V38+V28</f>
        <v>-97097374.659999996</v>
      </c>
      <c r="W47" s="329"/>
      <c r="X47" s="330"/>
      <c r="Y47" s="328">
        <f>+Y26+Y38+Y28</f>
        <v>-96971363.799999997</v>
      </c>
      <c r="Z47" s="329"/>
      <c r="AA47" s="330"/>
      <c r="AB47" s="328">
        <f>+AB26+AB38+AB28</f>
        <v>-97181324.890000001</v>
      </c>
      <c r="AC47" s="329"/>
      <c r="AD47" s="330"/>
      <c r="AE47" s="328">
        <f>+AE26+AE38+AE28</f>
        <v>-97111309.340000004</v>
      </c>
      <c r="AF47" s="329"/>
      <c r="AG47" s="330"/>
      <c r="AH47" s="328">
        <f>+AH26+AH38+AH28</f>
        <v>-97041293.75</v>
      </c>
      <c r="AI47" s="329"/>
      <c r="AJ47" s="330"/>
      <c r="AK47" s="328">
        <f>+AK26+AK38+AK28</f>
        <v>-98273089.640000001</v>
      </c>
      <c r="AL47" s="329"/>
      <c r="AM47" s="330"/>
      <c r="AN47" s="328">
        <f>+AN26+AN38+AN28</f>
        <v>-98347719.810000002</v>
      </c>
      <c r="AO47" s="329"/>
      <c r="AP47" s="330"/>
      <c r="AQ47" s="328">
        <f>+AQ26+AQ38+AQ28</f>
        <v>-100118820.69999999</v>
      </c>
      <c r="AR47" s="329"/>
      <c r="AS47" s="330"/>
      <c r="AT47" s="328">
        <f>+AT26+AT38+AT28</f>
        <v>-100067346.12</v>
      </c>
      <c r="AU47" s="329"/>
      <c r="AV47" s="330"/>
      <c r="AW47" s="328">
        <f>+AW26+AW38+AW28</f>
        <v>-97615507.005416676</v>
      </c>
      <c r="AX47" s="34"/>
      <c r="AY47" s="34"/>
    </row>
    <row r="48" spans="1:51">
      <c r="A48" s="24">
        <v>40</v>
      </c>
      <c r="B48" s="1264"/>
      <c r="C48" s="1265"/>
      <c r="D48" s="1265"/>
      <c r="E48" s="1266"/>
      <c r="F48" s="34"/>
      <c r="G48" s="34" t="s">
        <v>1956</v>
      </c>
      <c r="H48" s="34"/>
      <c r="I48" s="34"/>
      <c r="J48" s="331">
        <f>+J27+J29+J42</f>
        <v>-36786388.119999997</v>
      </c>
      <c r="K48" s="329"/>
      <c r="L48" s="330"/>
      <c r="M48" s="331">
        <f>+M27+M29+M42</f>
        <v>-36797682.920000002</v>
      </c>
      <c r="N48" s="329"/>
      <c r="O48" s="330"/>
      <c r="P48" s="331">
        <f>+P27+P29+P42</f>
        <v>-36808977.82</v>
      </c>
      <c r="Q48" s="329"/>
      <c r="R48" s="330"/>
      <c r="S48" s="331">
        <f>+S27+S29+S42</f>
        <v>-37065961.369999997</v>
      </c>
      <c r="T48" s="329"/>
      <c r="U48" s="330"/>
      <c r="V48" s="331">
        <f>+V27+V29+V42</f>
        <v>-37077311.259999998</v>
      </c>
      <c r="W48" s="329"/>
      <c r="X48" s="330"/>
      <c r="Y48" s="331">
        <f>+Y27+Y29+Y42</f>
        <v>-37088661.189999998</v>
      </c>
      <c r="Z48" s="329"/>
      <c r="AA48" s="330"/>
      <c r="AB48" s="331">
        <f>+AB27+AB29+AB42</f>
        <v>-37083468.740000002</v>
      </c>
      <c r="AC48" s="329"/>
      <c r="AD48" s="330"/>
      <c r="AE48" s="331">
        <f>+AE27+AE29+AE42</f>
        <v>-37092066.419999994</v>
      </c>
      <c r="AF48" s="329"/>
      <c r="AG48" s="330"/>
      <c r="AH48" s="331">
        <f>+AH27+AH29+AH42</f>
        <v>-37100664.079999998</v>
      </c>
      <c r="AI48" s="329"/>
      <c r="AJ48" s="330"/>
      <c r="AK48" s="331">
        <f>+AK27+AK29+AK42</f>
        <v>-36995176.82</v>
      </c>
      <c r="AL48" s="329"/>
      <c r="AM48" s="330"/>
      <c r="AN48" s="331">
        <f>+AN27+AN29+AN42</f>
        <v>-36991101.07</v>
      </c>
      <c r="AO48" s="329"/>
      <c r="AP48" s="330"/>
      <c r="AQ48" s="331">
        <f>+AQ27+AQ29+AQ42</f>
        <v>-36987025.399999999</v>
      </c>
      <c r="AR48" s="329"/>
      <c r="AS48" s="330"/>
      <c r="AT48" s="331">
        <f>+AT27+AT29+AT42</f>
        <v>-36157095.620000005</v>
      </c>
      <c r="AU48" s="329"/>
      <c r="AV48" s="330"/>
      <c r="AW48" s="331">
        <f>+AW27+AW29+AW42</f>
        <v>-36963319.913333334</v>
      </c>
      <c r="AX48" s="34"/>
      <c r="AY48" s="34"/>
    </row>
    <row r="49" spans="1:51" ht="16.5" thickBot="1">
      <c r="A49" s="168">
        <v>41</v>
      </c>
      <c r="B49" s="1264"/>
      <c r="C49" s="1265"/>
      <c r="D49" s="1265"/>
      <c r="E49" s="1266"/>
      <c r="F49" s="34"/>
      <c r="G49" s="34"/>
      <c r="H49" s="34"/>
      <c r="I49" s="34"/>
      <c r="J49" s="334">
        <f>+J47+J48</f>
        <v>-133601647.91</v>
      </c>
      <c r="K49" s="335"/>
      <c r="L49" s="336"/>
      <c r="M49" s="334">
        <f>+M47+M48</f>
        <v>-133595802.5</v>
      </c>
      <c r="N49" s="335"/>
      <c r="O49" s="336"/>
      <c r="P49" s="334">
        <f>+P47+P48</f>
        <v>-133589957.16</v>
      </c>
      <c r="Q49" s="335"/>
      <c r="R49" s="336"/>
      <c r="S49" s="334">
        <f>+S47+S48</f>
        <v>-134289346.97</v>
      </c>
      <c r="T49" s="335"/>
      <c r="U49" s="336"/>
      <c r="V49" s="334">
        <f>+V47+V48</f>
        <v>-134174685.91999999</v>
      </c>
      <c r="W49" s="335"/>
      <c r="X49" s="336"/>
      <c r="Y49" s="334">
        <f>+Y47+Y48</f>
        <v>-134060024.98999999</v>
      </c>
      <c r="Z49" s="335"/>
      <c r="AA49" s="336"/>
      <c r="AB49" s="334">
        <f>+AB47+AB48</f>
        <v>-134264793.63</v>
      </c>
      <c r="AC49" s="335"/>
      <c r="AD49" s="336"/>
      <c r="AE49" s="334">
        <f>+AE47+AE48</f>
        <v>-134203375.75999999</v>
      </c>
      <c r="AF49" s="335"/>
      <c r="AG49" s="336"/>
      <c r="AH49" s="334">
        <f>+AH47+AH48</f>
        <v>-134141957.83</v>
      </c>
      <c r="AI49" s="335"/>
      <c r="AJ49" s="336"/>
      <c r="AK49" s="334">
        <f>+AK47+AK48</f>
        <v>-135268266.46000001</v>
      </c>
      <c r="AL49" s="335"/>
      <c r="AM49" s="336"/>
      <c r="AN49" s="334">
        <f>+AN47+AN48</f>
        <v>-135338820.88</v>
      </c>
      <c r="AO49" s="335"/>
      <c r="AP49" s="336"/>
      <c r="AQ49" s="334">
        <f>+AQ47+AQ48</f>
        <v>-137105846.09999999</v>
      </c>
      <c r="AR49" s="335"/>
      <c r="AS49" s="336"/>
      <c r="AT49" s="334">
        <f>+AT47+AT48</f>
        <v>-136224441.74000001</v>
      </c>
      <c r="AU49" s="335"/>
      <c r="AV49" s="336"/>
      <c r="AW49" s="334">
        <f>+AW47+AW48</f>
        <v>-134578826.91875002</v>
      </c>
      <c r="AX49" s="34"/>
      <c r="AY49" s="34"/>
    </row>
    <row r="50" spans="1:51" ht="16.5" thickBot="1">
      <c r="A50" s="168">
        <v>42</v>
      </c>
      <c r="B50" s="1267"/>
      <c r="C50" s="1268"/>
      <c r="D50" s="1268"/>
      <c r="E50" s="1269"/>
      <c r="F50" s="34" t="s">
        <v>1958</v>
      </c>
      <c r="G50" s="34"/>
      <c r="H50" s="34"/>
      <c r="I50" s="34"/>
      <c r="J50" s="34">
        <f>+'Working Capital Work Paper'!F315</f>
        <v>-96815259.790000007</v>
      </c>
      <c r="M50" s="34">
        <f>+'Working Capital Work Paper'!G315</f>
        <v>-96798119.579999998</v>
      </c>
      <c r="P50" s="34">
        <f>+'Working Capital Work Paper'!H315</f>
        <v>-96780979.340000004</v>
      </c>
      <c r="S50" s="34">
        <f>+'Working Capital Work Paper'!I315</f>
        <v>-97223385.599999994</v>
      </c>
      <c r="V50" s="34">
        <f>+'Working Capital Work Paper'!J315</f>
        <v>-97097374.659999996</v>
      </c>
      <c r="W50" s="34"/>
      <c r="X50" s="34"/>
      <c r="Y50" s="34">
        <f>+'Working Capital Work Paper'!K315</f>
        <v>-96971363.799999997</v>
      </c>
      <c r="Z50" s="34"/>
      <c r="AA50" s="34"/>
      <c r="AB50" s="34">
        <f>+'Working Capital Work Paper'!L315</f>
        <v>-97181324.890000001</v>
      </c>
      <c r="AC50" s="34"/>
      <c r="AD50" s="34"/>
      <c r="AE50" s="34">
        <f>+'Working Capital Work Paper'!M315</f>
        <v>-97111309.340000004</v>
      </c>
      <c r="AF50" s="34"/>
      <c r="AG50" s="34"/>
      <c r="AH50" s="34">
        <f>+'Working Capital Work Paper'!N315</f>
        <v>-97041293.75</v>
      </c>
      <c r="AI50" s="34"/>
      <c r="AJ50" s="34"/>
      <c r="AK50" s="34">
        <f>+'Working Capital Work Paper'!O315</f>
        <v>-98273089.640000001</v>
      </c>
      <c r="AL50" s="34"/>
      <c r="AM50" s="34"/>
      <c r="AN50" s="34">
        <f>+'Working Capital Work Paper'!P315</f>
        <v>-98347719.810000002</v>
      </c>
      <c r="AO50" s="34"/>
      <c r="AP50" s="34"/>
      <c r="AQ50" s="34">
        <f>+'Working Capital Work Paper'!Q315</f>
        <v>-100118820.7</v>
      </c>
      <c r="AR50" s="34"/>
      <c r="AS50" s="34"/>
      <c r="AT50" s="34">
        <f>+'Working Capital Work Paper'!R315</f>
        <v>-100067346.12</v>
      </c>
      <c r="AV50" s="34"/>
      <c r="AW50" s="34">
        <f>+'Working Capital Work Paper'!S315</f>
        <v>-97615507.005416676</v>
      </c>
      <c r="AX50" s="34"/>
      <c r="AY50" s="34"/>
    </row>
    <row r="51" spans="1:51">
      <c r="A51" s="168">
        <v>43</v>
      </c>
      <c r="B51" s="34"/>
      <c r="C51" s="34"/>
      <c r="D51" s="34"/>
      <c r="E51" s="34"/>
      <c r="F51" s="34" t="s">
        <v>1959</v>
      </c>
      <c r="G51" s="34"/>
      <c r="H51" s="34"/>
      <c r="I51" s="34"/>
      <c r="J51" s="34">
        <f>+'Working Capital Work Paper'!F316</f>
        <v>-36786388.119999997</v>
      </c>
      <c r="M51" s="34">
        <f>+'Working Capital Work Paper'!G316</f>
        <v>-36797682.920000002</v>
      </c>
      <c r="P51" s="34">
        <f>+'Working Capital Work Paper'!H316</f>
        <v>-36808977.82</v>
      </c>
      <c r="S51" s="34">
        <f>+'Working Capital Work Paper'!I316</f>
        <v>-37065961.369999997</v>
      </c>
      <c r="V51" s="34">
        <f>+'Working Capital Work Paper'!J316</f>
        <v>-37077311.259999998</v>
      </c>
      <c r="W51" s="34"/>
      <c r="X51" s="34"/>
      <c r="Y51" s="34">
        <f>+'Working Capital Work Paper'!K316</f>
        <v>-37088661.189999998</v>
      </c>
      <c r="Z51" s="34"/>
      <c r="AA51" s="34"/>
      <c r="AB51" s="34">
        <f>+'Working Capital Work Paper'!L316</f>
        <v>-37083468.740000002</v>
      </c>
      <c r="AC51" s="34"/>
      <c r="AD51" s="34"/>
      <c r="AE51" s="34">
        <f>+'Working Capital Work Paper'!M316</f>
        <v>-37092066.420000002</v>
      </c>
      <c r="AF51" s="34"/>
      <c r="AG51" s="34"/>
      <c r="AH51" s="34">
        <f>+'Working Capital Work Paper'!N316</f>
        <v>-37100664.079999998</v>
      </c>
      <c r="AI51" s="34"/>
      <c r="AJ51" s="34"/>
      <c r="AK51" s="34">
        <f>+'Working Capital Work Paper'!O316</f>
        <v>-36995176.82</v>
      </c>
      <c r="AL51" s="34"/>
      <c r="AM51" s="34"/>
      <c r="AN51" s="34">
        <f>+'Working Capital Work Paper'!P316</f>
        <v>-36991101.07</v>
      </c>
      <c r="AO51" s="34"/>
      <c r="AP51" s="34"/>
      <c r="AQ51" s="34">
        <f>+'Working Capital Work Paper'!Q316</f>
        <v>-36987025.399999999</v>
      </c>
      <c r="AR51" s="34"/>
      <c r="AS51" s="34"/>
      <c r="AT51" s="34">
        <f>+'Working Capital Work Paper'!R316</f>
        <v>-36157095.619999997</v>
      </c>
      <c r="AV51" s="34"/>
      <c r="AW51" s="34">
        <f>+'Working Capital Work Paper'!S316</f>
        <v>-36963319.913333334</v>
      </c>
      <c r="AX51" s="34"/>
      <c r="AY51" s="34"/>
    </row>
    <row r="52" spans="1:51">
      <c r="A52" s="168">
        <v>44</v>
      </c>
      <c r="B52" s="34"/>
      <c r="C52" s="34"/>
      <c r="D52" s="34"/>
      <c r="E52" s="34"/>
      <c r="F52" s="34" t="s">
        <v>1960</v>
      </c>
      <c r="G52" s="34"/>
      <c r="H52" s="34"/>
      <c r="I52" s="34"/>
      <c r="J52" s="34">
        <f>+J47-J50</f>
        <v>0</v>
      </c>
      <c r="K52" s="34"/>
      <c r="L52" s="34"/>
      <c r="M52" s="34">
        <f>+M47-M50</f>
        <v>0</v>
      </c>
      <c r="N52" s="34"/>
      <c r="O52" s="34"/>
      <c r="P52" s="34">
        <f>+P47-P50</f>
        <v>0</v>
      </c>
      <c r="Q52" s="34"/>
      <c r="R52" s="34"/>
      <c r="S52" s="34">
        <f>+S47-S50</f>
        <v>0</v>
      </c>
      <c r="T52" s="34"/>
      <c r="U52" s="34"/>
      <c r="V52" s="34">
        <f>+V47-V50</f>
        <v>0</v>
      </c>
      <c r="W52" s="34"/>
      <c r="X52" s="34"/>
      <c r="Y52" s="34">
        <f>+Y47-Y50</f>
        <v>0</v>
      </c>
      <c r="Z52" s="34"/>
      <c r="AA52" s="34"/>
      <c r="AB52" s="34">
        <f>+AB47-AB50</f>
        <v>0</v>
      </c>
      <c r="AC52" s="34"/>
      <c r="AD52" s="34"/>
      <c r="AE52" s="34">
        <f>+AE47-AE50</f>
        <v>0</v>
      </c>
      <c r="AF52" s="34"/>
      <c r="AG52" s="34"/>
      <c r="AH52" s="34">
        <f>+AH47-AH50</f>
        <v>0</v>
      </c>
      <c r="AI52" s="34"/>
      <c r="AJ52" s="34"/>
      <c r="AK52" s="34">
        <f>+AK47-AK50</f>
        <v>0</v>
      </c>
      <c r="AL52" s="34"/>
      <c r="AM52" s="34"/>
      <c r="AN52" s="34">
        <f>+AN47-AN50</f>
        <v>0</v>
      </c>
      <c r="AO52" s="34"/>
      <c r="AP52" s="34"/>
      <c r="AQ52" s="34">
        <f>+AQ47-AQ50</f>
        <v>0</v>
      </c>
      <c r="AR52" s="34"/>
      <c r="AS52" s="34"/>
      <c r="AT52" s="34">
        <f>+AT47-AT50</f>
        <v>0</v>
      </c>
      <c r="AU52" s="34"/>
      <c r="AV52" s="34"/>
      <c r="AW52" s="34">
        <f>+AW47-AW50</f>
        <v>0</v>
      </c>
      <c r="AX52" s="34"/>
      <c r="AY52" s="34"/>
    </row>
    <row r="53" spans="1:51">
      <c r="A53" s="168">
        <v>45</v>
      </c>
      <c r="B53" s="34"/>
      <c r="C53" s="34"/>
      <c r="D53" s="34"/>
      <c r="E53" s="34"/>
      <c r="F53" s="34" t="s">
        <v>1960</v>
      </c>
      <c r="G53" s="34"/>
      <c r="H53" s="34"/>
      <c r="I53" s="34"/>
      <c r="J53" s="34">
        <f>+J48-J51</f>
        <v>0</v>
      </c>
      <c r="K53" s="34"/>
      <c r="L53" s="34"/>
      <c r="M53" s="34">
        <f>+M48-M51</f>
        <v>0</v>
      </c>
      <c r="N53" s="34"/>
      <c r="O53" s="34"/>
      <c r="P53" s="34">
        <f>+P48-P51</f>
        <v>0</v>
      </c>
      <c r="Q53" s="34"/>
      <c r="R53" s="34"/>
      <c r="S53" s="34">
        <f>+S48-S51</f>
        <v>0</v>
      </c>
      <c r="T53" s="34"/>
      <c r="U53" s="34"/>
      <c r="V53" s="34">
        <f>+V48-V51</f>
        <v>0</v>
      </c>
      <c r="W53" s="34"/>
      <c r="X53" s="34"/>
      <c r="Y53" s="34">
        <f>+Y48-Y51</f>
        <v>0</v>
      </c>
      <c r="Z53" s="34"/>
      <c r="AA53" s="34"/>
      <c r="AB53" s="34">
        <f>+AB48-AB51</f>
        <v>0</v>
      </c>
      <c r="AC53" s="34"/>
      <c r="AD53" s="34"/>
      <c r="AE53" s="34">
        <f>+AE48-AE51</f>
        <v>0</v>
      </c>
      <c r="AF53" s="34"/>
      <c r="AG53" s="34"/>
      <c r="AH53" s="34">
        <f>+AH48-AH51</f>
        <v>0</v>
      </c>
      <c r="AI53" s="34"/>
      <c r="AJ53" s="34"/>
      <c r="AK53" s="34">
        <f>+AK48-AK51</f>
        <v>0</v>
      </c>
      <c r="AL53" s="34"/>
      <c r="AM53" s="34"/>
      <c r="AN53" s="34">
        <f>+AN48-AN51</f>
        <v>0</v>
      </c>
      <c r="AO53" s="34"/>
      <c r="AP53" s="34"/>
      <c r="AQ53" s="34">
        <f>+AQ48-AQ51</f>
        <v>0</v>
      </c>
      <c r="AR53" s="34"/>
      <c r="AS53" s="34"/>
      <c r="AT53" s="34">
        <f>+AT48-AT51</f>
        <v>0</v>
      </c>
      <c r="AU53" s="34"/>
      <c r="AV53" s="34"/>
      <c r="AW53" s="34">
        <f>+AW48-AW51</f>
        <v>0</v>
      </c>
      <c r="AX53" s="34"/>
      <c r="AY53" s="34"/>
    </row>
    <row r="54" spans="1:51">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row>
    <row r="55" spans="1:51">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row>
    <row r="56" spans="1:51">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row>
    <row r="57" spans="1:51">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row>
    <row r="58" spans="1:51">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row>
    <row r="59" spans="1:51">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row>
    <row r="60" spans="1:51">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row>
    <row r="61" spans="1:51">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row>
  </sheetData>
  <mergeCells count="35">
    <mergeCell ref="F13:I13"/>
    <mergeCell ref="E1:K1"/>
    <mergeCell ref="F2:J2"/>
    <mergeCell ref="AK3:AO3"/>
    <mergeCell ref="AK4:AO4"/>
    <mergeCell ref="AK5:AO5"/>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AX24:BD25"/>
    <mergeCell ref="R1:U1"/>
    <mergeCell ref="R2:U2"/>
    <mergeCell ref="R3:U3"/>
    <mergeCell ref="R4:U4"/>
    <mergeCell ref="R5:U5"/>
    <mergeCell ref="AB1:AE1"/>
    <mergeCell ref="AB2:AE2"/>
    <mergeCell ref="AB3:AE3"/>
    <mergeCell ref="AB4:AE4"/>
    <mergeCell ref="AB5:AE5"/>
    <mergeCell ref="AK1:AO1"/>
    <mergeCell ref="AK2:AO2"/>
  </mergeCells>
  <printOptions horizontalCentered="1"/>
  <pageMargins left="0.7" right="0.7" top="0.75" bottom="0.75" header="0.3" footer="0.3"/>
  <pageSetup scale="57" orientation="landscape" r:id="rId1"/>
  <headerFooter scaleWithDoc="0" alignWithMargins="0">
    <oddHeader>&amp;RPage &amp;P of &amp;N</oddHeader>
    <oddFooter>&amp;LElectronic Tab Name:&amp;A&amp;R&amp;"Times New Roman,Regular"&amp;9 26678.897\4829-5163-7600.v1</oddFooter>
  </headerFooter>
  <rowBreaks count="1" manualBreakCount="1">
    <brk id="30" max="16383" man="1"/>
  </rowBreaks>
  <colBreaks count="2" manualBreakCount="2">
    <brk id="24" max="57" man="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9"/>
  <sheetViews>
    <sheetView zoomScale="115" zoomScaleNormal="115" zoomScaleSheetLayoutView="85" workbookViewId="0"/>
  </sheetViews>
  <sheetFormatPr defaultColWidth="9.140625" defaultRowHeight="12.75"/>
  <cols>
    <col min="1" max="1" width="1.42578125" style="822" customWidth="1"/>
    <col min="2" max="2" width="5.7109375" style="822" customWidth="1"/>
    <col min="3" max="3" width="1.42578125" style="822" customWidth="1"/>
    <col min="4" max="4" width="8.42578125" style="828" customWidth="1"/>
    <col min="5" max="5" width="1.42578125" style="822" customWidth="1"/>
    <col min="6" max="6" width="41.42578125" style="822" customWidth="1"/>
    <col min="7" max="7" width="1.42578125" style="829" customWidth="1"/>
    <col min="8" max="8" width="1.42578125" style="824" customWidth="1"/>
    <col min="9" max="9" width="10.42578125" style="822" customWidth="1"/>
    <col min="10" max="10" width="1.42578125" style="822" customWidth="1"/>
    <col min="11" max="11" width="10.42578125" style="822" customWidth="1"/>
    <col min="12" max="12" width="1.42578125" style="822" customWidth="1"/>
    <col min="13" max="13" width="10.42578125" style="822" customWidth="1"/>
    <col min="14" max="14" width="1.42578125" style="829" customWidth="1"/>
    <col min="15" max="15" width="1.42578125" style="827" customWidth="1"/>
    <col min="16" max="16" width="10.42578125" style="822" customWidth="1"/>
    <col min="17" max="17" width="1.42578125" style="822" customWidth="1"/>
    <col min="18" max="18" width="10.42578125" style="822" customWidth="1"/>
    <col min="19" max="19" width="1.42578125" style="822" customWidth="1"/>
    <col min="20" max="20" width="10.42578125" style="822" customWidth="1"/>
    <col min="21" max="21" width="1.42578125" style="822" customWidth="1"/>
    <col min="22" max="22" width="1.42578125" style="827" customWidth="1"/>
    <col min="23" max="23" width="10.42578125" style="829" customWidth="1"/>
    <col min="24" max="24" width="1.42578125" style="829" customWidth="1"/>
    <col min="25" max="25" width="10.42578125" style="829" customWidth="1"/>
    <col min="26" max="26" width="1.28515625" style="829" customWidth="1"/>
    <col min="27" max="27" width="10.42578125" style="829" customWidth="1"/>
    <col min="28" max="28" width="1.42578125" style="829" customWidth="1"/>
    <col min="29" max="29" width="10.42578125" style="829" customWidth="1"/>
    <col min="30" max="30" width="1.42578125" style="829" customWidth="1"/>
    <col min="31" max="31" width="20.85546875" style="829" customWidth="1"/>
    <col min="32" max="33" width="2.7109375" style="829" customWidth="1"/>
    <col min="34" max="34" width="21.140625" style="829" customWidth="1"/>
    <col min="35" max="37" width="11.85546875" style="822" customWidth="1"/>
    <col min="38" max="16384" width="9.140625" style="822"/>
  </cols>
  <sheetData>
    <row r="1" spans="1:39" ht="15">
      <c r="A1" s="1158" t="s">
        <v>53</v>
      </c>
      <c r="B1" s="1158"/>
      <c r="C1" s="1158"/>
      <c r="D1" s="1159"/>
      <c r="E1" s="1158"/>
      <c r="F1" s="1158"/>
      <c r="G1" s="1160"/>
      <c r="H1" s="1161"/>
      <c r="I1" s="1161"/>
      <c r="J1" s="1162"/>
      <c r="K1" s="1162"/>
      <c r="L1" s="1162"/>
      <c r="M1" s="1162"/>
      <c r="N1" s="823"/>
      <c r="O1" s="825"/>
      <c r="P1" s="821"/>
      <c r="Q1" s="821"/>
      <c r="R1" s="821"/>
      <c r="S1" s="821"/>
      <c r="T1" s="821"/>
      <c r="U1" s="826"/>
      <c r="W1" s="824"/>
      <c r="X1" s="828"/>
      <c r="Y1" s="824"/>
      <c r="Z1" s="824"/>
      <c r="AA1" s="824"/>
      <c r="AB1" s="824"/>
      <c r="AC1" s="824"/>
      <c r="AD1" s="824"/>
      <c r="AE1" s="824"/>
      <c r="AG1" s="830"/>
      <c r="AH1" s="824"/>
      <c r="AI1" s="824"/>
      <c r="AJ1" s="824"/>
      <c r="AK1" s="824"/>
      <c r="AL1" s="829"/>
      <c r="AM1" s="829"/>
    </row>
    <row r="2" spans="1:39" ht="15">
      <c r="A2" s="1163" t="s">
        <v>2116</v>
      </c>
      <c r="B2" s="1158"/>
      <c r="C2" s="1158"/>
      <c r="D2" s="1159"/>
      <c r="E2" s="1158"/>
      <c r="F2" s="1158"/>
      <c r="G2" s="1160"/>
      <c r="H2" s="1161"/>
      <c r="I2" s="1161"/>
      <c r="J2" s="1162"/>
      <c r="K2" s="1162"/>
      <c r="L2" s="1162"/>
      <c r="M2" s="1162"/>
      <c r="N2" s="823"/>
      <c r="O2" s="825"/>
      <c r="P2" s="821"/>
      <c r="Q2" s="821"/>
      <c r="R2" s="821"/>
      <c r="S2" s="821"/>
      <c r="T2" s="821"/>
      <c r="U2" s="826"/>
      <c r="W2" s="824"/>
      <c r="X2" s="828"/>
      <c r="Y2" s="824"/>
      <c r="Z2" s="824"/>
      <c r="AA2" s="824"/>
      <c r="AB2" s="824"/>
      <c r="AC2" s="824"/>
      <c r="AD2" s="824"/>
      <c r="AE2" s="824"/>
      <c r="AG2" s="830"/>
      <c r="AH2" s="824"/>
      <c r="AI2" s="824"/>
      <c r="AJ2" s="824"/>
      <c r="AK2" s="824"/>
      <c r="AL2" s="829"/>
      <c r="AM2" s="829"/>
    </row>
    <row r="3" spans="1:39" ht="15">
      <c r="A3" s="1240" t="s">
        <v>972</v>
      </c>
      <c r="B3" s="1240"/>
      <c r="C3" s="1240"/>
      <c r="D3" s="1240"/>
      <c r="E3" s="1240"/>
      <c r="F3" s="1240"/>
      <c r="G3" s="1240"/>
      <c r="H3" s="1240"/>
      <c r="I3" s="1240"/>
      <c r="J3" s="1240"/>
      <c r="K3" s="1240"/>
      <c r="L3" s="1240"/>
      <c r="M3" s="1240"/>
      <c r="N3" s="823"/>
      <c r="O3" s="825"/>
      <c r="P3" s="827"/>
      <c r="Q3" s="825"/>
      <c r="R3" s="825"/>
      <c r="S3" s="825"/>
      <c r="T3" s="825"/>
      <c r="U3" s="826"/>
      <c r="W3" s="827"/>
      <c r="X3" s="983"/>
      <c r="Y3" s="831"/>
      <c r="Z3" s="831"/>
      <c r="AA3" s="831"/>
      <c r="AB3" s="831"/>
      <c r="AC3" s="831"/>
      <c r="AD3" s="837"/>
      <c r="AE3" s="837"/>
      <c r="AG3" s="830"/>
      <c r="AH3" s="824"/>
      <c r="AI3" s="824"/>
      <c r="AJ3" s="824"/>
      <c r="AK3" s="824"/>
      <c r="AL3" s="829"/>
      <c r="AM3" s="829"/>
    </row>
    <row r="4" spans="1:39" ht="15">
      <c r="A4" s="1117" t="s">
        <v>2283</v>
      </c>
      <c r="B4" s="1117"/>
      <c r="C4" s="1117"/>
      <c r="D4" s="1117"/>
      <c r="E4" s="1117"/>
      <c r="F4" s="1117"/>
      <c r="G4" s="1117"/>
      <c r="H4" s="1117"/>
      <c r="I4" s="1117"/>
      <c r="J4" s="1117"/>
      <c r="K4" s="1117"/>
      <c r="L4" s="1117"/>
      <c r="M4" s="1118"/>
      <c r="N4" s="823"/>
      <c r="O4" s="825"/>
      <c r="P4" s="827"/>
      <c r="Q4" s="825"/>
      <c r="R4" s="825"/>
      <c r="S4" s="825"/>
      <c r="T4" s="825"/>
      <c r="U4" s="826"/>
      <c r="W4" s="827"/>
      <c r="X4" s="983"/>
      <c r="Y4" s="831"/>
      <c r="Z4" s="831"/>
      <c r="AA4" s="831"/>
      <c r="AB4" s="831"/>
      <c r="AC4" s="831"/>
      <c r="AD4" s="837"/>
      <c r="AE4" s="837"/>
      <c r="AG4" s="830"/>
      <c r="AH4" s="824"/>
      <c r="AI4" s="824"/>
      <c r="AJ4" s="824"/>
      <c r="AK4" s="824"/>
      <c r="AL4" s="829"/>
      <c r="AM4" s="829"/>
    </row>
    <row r="5" spans="1:39">
      <c r="B5" s="821"/>
      <c r="C5" s="821"/>
      <c r="D5" s="840"/>
      <c r="E5" s="821"/>
      <c r="F5" s="821"/>
      <c r="G5" s="823"/>
      <c r="H5" s="831"/>
      <c r="I5" s="832" t="s">
        <v>2276</v>
      </c>
      <c r="J5" s="833"/>
      <c r="K5" s="833"/>
      <c r="L5" s="833"/>
      <c r="M5" s="833"/>
      <c r="N5" s="823"/>
      <c r="O5" s="825"/>
      <c r="P5" s="832" t="s">
        <v>2117</v>
      </c>
      <c r="Q5" s="834"/>
      <c r="R5" s="834"/>
      <c r="S5" s="834"/>
      <c r="T5" s="834"/>
      <c r="U5" s="826"/>
      <c r="W5" s="832" t="s">
        <v>2118</v>
      </c>
      <c r="X5" s="835"/>
      <c r="Y5" s="836"/>
      <c r="Z5" s="836"/>
      <c r="AA5" s="836"/>
      <c r="AB5" s="836"/>
      <c r="AC5" s="836"/>
      <c r="AD5" s="837"/>
      <c r="AE5" s="837"/>
      <c r="AG5" s="830"/>
      <c r="AH5" s="838" t="s">
        <v>2119</v>
      </c>
      <c r="AI5" s="838"/>
      <c r="AJ5" s="838"/>
      <c r="AK5" s="838"/>
      <c r="AL5" s="829"/>
      <c r="AM5" s="829"/>
    </row>
    <row r="6" spans="1:39">
      <c r="B6" s="821"/>
      <c r="C6" s="821"/>
      <c r="D6" s="840"/>
      <c r="E6" s="821"/>
      <c r="F6" s="821"/>
      <c r="G6" s="823"/>
      <c r="I6" s="828"/>
      <c r="J6" s="828"/>
      <c r="K6" s="828"/>
      <c r="L6" s="828"/>
      <c r="M6" s="828" t="s">
        <v>2120</v>
      </c>
      <c r="N6" s="823"/>
      <c r="P6" s="828"/>
      <c r="Q6" s="828"/>
      <c r="R6" s="828"/>
      <c r="S6" s="828"/>
      <c r="T6" s="828" t="s">
        <v>2120</v>
      </c>
      <c r="U6" s="826"/>
      <c r="W6" s="828" t="s">
        <v>2121</v>
      </c>
      <c r="X6" s="828"/>
      <c r="Y6" s="828"/>
      <c r="Z6" s="828"/>
      <c r="AA6" s="828"/>
      <c r="AB6" s="839"/>
      <c r="AC6" s="828" t="s">
        <v>2120</v>
      </c>
      <c r="AD6" s="837"/>
      <c r="AE6" s="837"/>
      <c r="AG6" s="830"/>
      <c r="AH6" s="822"/>
      <c r="AI6" s="822" t="s">
        <v>2148</v>
      </c>
      <c r="AJ6" s="822" t="s">
        <v>2164</v>
      </c>
    </row>
    <row r="7" spans="1:39">
      <c r="B7" s="821"/>
      <c r="C7" s="821"/>
      <c r="D7" s="840" t="s">
        <v>2122</v>
      </c>
      <c r="E7" s="821"/>
      <c r="F7" s="821"/>
      <c r="G7" s="823"/>
      <c r="I7" s="828" t="s">
        <v>2123</v>
      </c>
      <c r="J7" s="828"/>
      <c r="K7" s="828"/>
      <c r="L7" s="828"/>
      <c r="M7" s="837" t="s">
        <v>2124</v>
      </c>
      <c r="N7" s="823"/>
      <c r="P7" s="828" t="s">
        <v>2123</v>
      </c>
      <c r="Q7" s="828"/>
      <c r="R7" s="828"/>
      <c r="S7" s="828"/>
      <c r="T7" s="837" t="s">
        <v>2124</v>
      </c>
      <c r="U7" s="826"/>
      <c r="W7" s="828" t="s">
        <v>2123</v>
      </c>
      <c r="X7" s="828"/>
      <c r="Y7" s="828" t="s">
        <v>2123</v>
      </c>
      <c r="Z7" s="828"/>
      <c r="AA7" s="828"/>
      <c r="AB7" s="828"/>
      <c r="AC7" s="837" t="s">
        <v>2124</v>
      </c>
      <c r="AD7" s="837"/>
      <c r="AE7" s="837"/>
      <c r="AG7" s="830"/>
      <c r="AH7" s="822" t="s">
        <v>2125</v>
      </c>
      <c r="AI7" s="841">
        <f>+'4) Conversion Factor'!D26</f>
        <v>0.62119652738122133</v>
      </c>
      <c r="AJ7" s="822">
        <f>+'4) Conversion Factor'!F26</f>
        <v>0.75499270250948436</v>
      </c>
    </row>
    <row r="8" spans="1:39">
      <c r="B8" s="834" t="s">
        <v>368</v>
      </c>
      <c r="C8" s="821"/>
      <c r="D8" s="842" t="s">
        <v>2126</v>
      </c>
      <c r="E8" s="821"/>
      <c r="F8" s="834" t="s">
        <v>370</v>
      </c>
      <c r="G8" s="823"/>
      <c r="I8" s="843" t="s">
        <v>2127</v>
      </c>
      <c r="J8" s="828"/>
      <c r="K8" s="843" t="s">
        <v>35</v>
      </c>
      <c r="L8" s="828"/>
      <c r="M8" s="843" t="s">
        <v>2128</v>
      </c>
      <c r="N8" s="823"/>
      <c r="P8" s="843" t="s">
        <v>2127</v>
      </c>
      <c r="Q8" s="828"/>
      <c r="R8" s="843" t="s">
        <v>35</v>
      </c>
      <c r="S8" s="828"/>
      <c r="T8" s="843" t="s">
        <v>2128</v>
      </c>
      <c r="U8" s="826"/>
      <c r="W8" s="843" t="s">
        <v>2127</v>
      </c>
      <c r="X8" s="828"/>
      <c r="Y8" s="843" t="s">
        <v>2127</v>
      </c>
      <c r="Z8" s="828"/>
      <c r="AA8" s="843" t="s">
        <v>35</v>
      </c>
      <c r="AB8" s="839"/>
      <c r="AC8" s="843" t="s">
        <v>2128</v>
      </c>
      <c r="AD8" s="839"/>
      <c r="AE8" s="843" t="s">
        <v>2129</v>
      </c>
      <c r="AG8" s="830"/>
      <c r="AH8" s="822" t="s">
        <v>2130</v>
      </c>
      <c r="AI8" s="844">
        <v>0.35</v>
      </c>
      <c r="AJ8" s="844">
        <v>0.21</v>
      </c>
    </row>
    <row r="9" spans="1:39">
      <c r="G9" s="824"/>
      <c r="AG9" s="830"/>
      <c r="AH9" s="822"/>
    </row>
    <row r="10" spans="1:39">
      <c r="B10" s="822">
        <v>1</v>
      </c>
      <c r="D10" s="907">
        <v>1</v>
      </c>
      <c r="E10" s="821"/>
      <c r="F10" s="821" t="s">
        <v>2131</v>
      </c>
      <c r="G10" s="824"/>
      <c r="I10" s="845">
        <f>+'2) ROO Summary Sheet'!D30/1000</f>
        <v>16604.662180000036</v>
      </c>
      <c r="J10" s="845"/>
      <c r="K10" s="845">
        <f>+'2) ROO Summary Sheet'!D39/1000</f>
        <v>280062.0514221809</v>
      </c>
      <c r="L10" s="845"/>
      <c r="M10" s="845">
        <f>+($K10*$AK$15-$I10)/$AI$7</f>
        <v>6397.8100058869732</v>
      </c>
      <c r="O10" s="825"/>
      <c r="P10" s="845">
        <f>+I10</f>
        <v>16604.662180000036</v>
      </c>
      <c r="Q10" s="845"/>
      <c r="R10" s="845">
        <f>+K10</f>
        <v>280062.0514221809</v>
      </c>
      <c r="S10" s="845"/>
      <c r="T10" s="845">
        <f>+($R10*$AK$15-$P10)/$AI$7</f>
        <v>6397.8100058869732</v>
      </c>
      <c r="AG10" s="830"/>
      <c r="AH10" s="822"/>
    </row>
    <row r="11" spans="1:39">
      <c r="D11" s="908"/>
      <c r="G11" s="824"/>
      <c r="I11" s="846"/>
      <c r="J11" s="846"/>
      <c r="K11" s="846"/>
      <c r="L11" s="846"/>
      <c r="M11" s="846"/>
      <c r="P11" s="846"/>
      <c r="Q11" s="846"/>
      <c r="R11" s="846"/>
      <c r="S11" s="846"/>
      <c r="T11" s="846"/>
      <c r="AE11" s="822"/>
      <c r="AG11" s="830"/>
      <c r="AH11" s="822" t="s">
        <v>2132</v>
      </c>
      <c r="AI11" s="822" t="s">
        <v>395</v>
      </c>
      <c r="AK11" s="822" t="s">
        <v>2133</v>
      </c>
    </row>
    <row r="12" spans="1:39">
      <c r="B12" s="847" t="s">
        <v>2134</v>
      </c>
      <c r="D12" s="908"/>
      <c r="G12" s="824"/>
      <c r="I12" s="846"/>
      <c r="J12" s="846"/>
      <c r="K12" s="846"/>
      <c r="L12" s="846"/>
      <c r="M12" s="846"/>
      <c r="P12" s="846"/>
      <c r="Q12" s="846"/>
      <c r="R12" s="846"/>
      <c r="S12" s="846"/>
      <c r="T12" s="846"/>
      <c r="AE12" s="822"/>
      <c r="AG12" s="830"/>
      <c r="AH12" s="832" t="s">
        <v>2135</v>
      </c>
      <c r="AI12" s="832" t="s">
        <v>2136</v>
      </c>
      <c r="AJ12" s="832" t="s">
        <v>2137</v>
      </c>
      <c r="AK12" s="832" t="s">
        <v>2137</v>
      </c>
    </row>
    <row r="13" spans="1:39">
      <c r="B13" s="822">
        <f ca="1">+MAX(OFFSET($B$10,0,0,ROW($B13)-ROW($B$10),1))+1</f>
        <v>2</v>
      </c>
      <c r="D13" s="908" t="s">
        <v>909</v>
      </c>
      <c r="F13" s="822" t="str">
        <f>+INDEX('6) Adj Detail'!$6:$6&amp;" "&amp;'6) Adj Detail'!$7:$7&amp;" "&amp;'6) Adj Detail'!$8:$8,1,MATCH($D13,'6) Adj Detail'!$9:$9,0))</f>
        <v>Weather  Normalization Adjustment</v>
      </c>
      <c r="G13" s="824"/>
      <c r="I13" s="861">
        <v>3077.6089336379337</v>
      </c>
      <c r="J13" s="846"/>
      <c r="K13" s="861">
        <v>0</v>
      </c>
      <c r="L13" s="846"/>
      <c r="M13" s="846">
        <f t="shared" ref="M13:M14" si="0">+($K13*$AK$15-$I13)/$AI$7</f>
        <v>-4954.3241115854462</v>
      </c>
      <c r="P13" s="846">
        <f t="shared" ref="P13:P16" si="1">+I13+Y13</f>
        <v>2444.7239336379334</v>
      </c>
      <c r="Q13" s="846"/>
      <c r="R13" s="846">
        <f t="shared" ref="R13:R16" si="2">+K13+AA13</f>
        <v>0</v>
      </c>
      <c r="S13" s="846"/>
      <c r="T13" s="846">
        <f t="shared" ref="T13:T17" si="3">+($R13*$AK$15-$P13)/$AI$7</f>
        <v>-3935.5080491904196</v>
      </c>
      <c r="W13" s="846">
        <v>0</v>
      </c>
      <c r="X13" s="846"/>
      <c r="Y13" s="848">
        <v>-632.88499999999999</v>
      </c>
      <c r="Z13" s="849"/>
      <c r="AA13" s="849">
        <v>0</v>
      </c>
      <c r="AB13" s="850"/>
      <c r="AC13" s="846">
        <f t="shared" ref="AC13:AC17" si="4">+($AA13*$AK$15-$Y13)/$AI$7</f>
        <v>1018.8160623950262</v>
      </c>
      <c r="AE13" s="822" t="s">
        <v>2314</v>
      </c>
      <c r="AG13" s="830"/>
      <c r="AH13" s="822" t="s">
        <v>2138</v>
      </c>
      <c r="AI13" s="822">
        <v>0.5</v>
      </c>
      <c r="AJ13" s="851">
        <v>5.2949999999999997E-2</v>
      </c>
      <c r="AK13" s="852">
        <f>ROUND(AI13*AJ13,5)</f>
        <v>2.648E-2</v>
      </c>
    </row>
    <row r="14" spans="1:39">
      <c r="B14" s="822">
        <f t="shared" ref="B14:B42" ca="1" si="5">+MAX(OFFSET($B$10,0,0,ROW($B14)-ROW($B$10),1))+1</f>
        <v>3</v>
      </c>
      <c r="D14" s="908" t="s">
        <v>910</v>
      </c>
      <c r="F14" s="822" t="str">
        <f>+INDEX('6) Adj Detail'!$6:$6&amp;" "&amp;'6) Adj Detail'!$7:$7&amp;" "&amp;'6) Adj Detail'!$8:$8,1,MATCH($D14,'6) Adj Detail'!$9:$9,0))</f>
        <v>Promotional Advertising Adjustment</v>
      </c>
      <c r="G14" s="824"/>
      <c r="I14" s="861">
        <v>35.565576</v>
      </c>
      <c r="J14" s="846"/>
      <c r="K14" s="861">
        <v>0</v>
      </c>
      <c r="L14" s="846"/>
      <c r="M14" s="846">
        <f t="shared" si="0"/>
        <v>-57.253340017745792</v>
      </c>
      <c r="P14" s="846">
        <f t="shared" si="1"/>
        <v>35.565576</v>
      </c>
      <c r="Q14" s="846"/>
      <c r="R14" s="846">
        <f t="shared" si="2"/>
        <v>0</v>
      </c>
      <c r="S14" s="846"/>
      <c r="T14" s="846">
        <f t="shared" si="3"/>
        <v>-57.253340017745792</v>
      </c>
      <c r="W14" s="846">
        <v>0</v>
      </c>
      <c r="X14" s="846"/>
      <c r="Y14" s="848">
        <f t="shared" ref="Y14:Y17" si="6">+W14*(1-$AI$8)</f>
        <v>0</v>
      </c>
      <c r="Z14" s="849"/>
      <c r="AA14" s="849">
        <v>0</v>
      </c>
      <c r="AB14" s="850"/>
      <c r="AC14" s="846">
        <f t="shared" si="4"/>
        <v>0</v>
      </c>
      <c r="AE14" s="822" t="s">
        <v>2203</v>
      </c>
      <c r="AG14" s="830"/>
      <c r="AH14" s="822" t="s">
        <v>2139</v>
      </c>
      <c r="AI14" s="822">
        <v>0.5</v>
      </c>
      <c r="AJ14" s="851">
        <v>9.4E-2</v>
      </c>
      <c r="AK14" s="853">
        <f>ROUND(AI14*AJ14,5)</f>
        <v>4.7E-2</v>
      </c>
    </row>
    <row r="15" spans="1:39">
      <c r="B15" s="822">
        <f t="shared" ca="1" si="5"/>
        <v>4</v>
      </c>
      <c r="D15" s="908" t="s">
        <v>959</v>
      </c>
      <c r="F15" s="822" t="str">
        <f>+INDEX('6) Adj Detail'!$6:$6&amp;" "&amp;'6) Adj Detail'!$7:$7&amp;" "&amp;'6) Adj Detail'!$8:$8,1,MATCH($D15,'6) Adj Detail'!$9:$9,0))</f>
        <v>Restate Revenue Adjustment</v>
      </c>
      <c r="G15" s="824"/>
      <c r="I15" s="861">
        <v>-1501.020943807519</v>
      </c>
      <c r="J15" s="846"/>
      <c r="K15" s="861">
        <v>0</v>
      </c>
      <c r="L15" s="846"/>
      <c r="M15" s="846">
        <f>+($K15*$AK$15-$I15)/$AI$7</f>
        <v>2416.3382724230191</v>
      </c>
      <c r="P15" s="846">
        <f t="shared" si="1"/>
        <v>-1557.5139438075189</v>
      </c>
      <c r="Q15" s="846"/>
      <c r="R15" s="846">
        <f t="shared" si="2"/>
        <v>0</v>
      </c>
      <c r="S15" s="846"/>
      <c r="T15" s="846">
        <f t="shared" si="3"/>
        <v>2507.2805064985337</v>
      </c>
      <c r="W15" s="846">
        <v>0</v>
      </c>
      <c r="X15" s="846"/>
      <c r="Y15" s="848">
        <v>-56.493000000000002</v>
      </c>
      <c r="Z15" s="849"/>
      <c r="AA15" s="849">
        <v>0</v>
      </c>
      <c r="AB15" s="850"/>
      <c r="AC15" s="846">
        <f t="shared" si="4"/>
        <v>90.942234075514847</v>
      </c>
      <c r="AE15" s="822" t="s">
        <v>2314</v>
      </c>
      <c r="AG15" s="830"/>
      <c r="AH15" s="822" t="s">
        <v>52</v>
      </c>
      <c r="AI15" s="854">
        <f>SUM(AI13:AI14)</f>
        <v>1</v>
      </c>
      <c r="AK15" s="864">
        <f>+SUM(AK13:AK14)</f>
        <v>7.3480000000000004E-2</v>
      </c>
    </row>
    <row r="16" spans="1:39">
      <c r="B16" s="822">
        <f t="shared" ca="1" si="5"/>
        <v>5</v>
      </c>
      <c r="D16" s="908" t="s">
        <v>1130</v>
      </c>
      <c r="F16" s="822" t="str">
        <f>+INDEX('6) Adj Detail'!$6:$6&amp;" "&amp;'6) Adj Detail'!$7:$7&amp;" "&amp;'6) Adj Detail'!$8:$8,1,MATCH($D16,'6) Adj Detail'!$9:$9,0))</f>
        <v>Low-Income Bill Assistance</v>
      </c>
      <c r="G16" s="824"/>
      <c r="I16" s="861">
        <v>346.66668400000003</v>
      </c>
      <c r="J16" s="846"/>
      <c r="K16" s="861">
        <v>0</v>
      </c>
      <c r="L16" s="846"/>
      <c r="M16" s="846">
        <f t="shared" ref="M16:M17" si="7">+($K16*$AK$15-$I16)/$AI$7</f>
        <v>-558.06281703061518</v>
      </c>
      <c r="P16" s="846">
        <f t="shared" si="1"/>
        <v>346.66668400000003</v>
      </c>
      <c r="Q16" s="846"/>
      <c r="R16" s="846">
        <f t="shared" si="2"/>
        <v>0</v>
      </c>
      <c r="S16" s="846"/>
      <c r="T16" s="846">
        <f t="shared" si="3"/>
        <v>-558.06281703061518</v>
      </c>
      <c r="W16" s="846">
        <v>0</v>
      </c>
      <c r="X16" s="846"/>
      <c r="Y16" s="848">
        <f t="shared" si="6"/>
        <v>0</v>
      </c>
      <c r="Z16" s="849"/>
      <c r="AA16" s="849">
        <v>0</v>
      </c>
      <c r="AB16" s="850"/>
      <c r="AC16" s="846">
        <f t="shared" si="4"/>
        <v>0</v>
      </c>
      <c r="AE16" s="822" t="s">
        <v>2203</v>
      </c>
      <c r="AG16" s="830"/>
      <c r="AH16" s="824"/>
      <c r="AK16" s="865"/>
    </row>
    <row r="17" spans="2:37">
      <c r="B17" s="822">
        <f t="shared" ca="1" si="5"/>
        <v>6</v>
      </c>
      <c r="D17" s="908" t="s">
        <v>2317</v>
      </c>
      <c r="F17" s="822" t="str">
        <f>+INDEX('6) Adj Detail'!$6:$6&amp;" "&amp;'6) Adj Detail'!$7:$7&amp;" "&amp;'6) Adj Detail'!$8:$8,1,MATCH($D17,'6) Adj Detail'!$9:$9,0))</f>
        <v xml:space="preserve">Restate  Wages </v>
      </c>
      <c r="G17" s="824"/>
      <c r="I17" s="861">
        <v>0</v>
      </c>
      <c r="J17" s="846"/>
      <c r="K17" s="861">
        <v>0</v>
      </c>
      <c r="L17" s="846"/>
      <c r="M17" s="846">
        <f t="shared" si="7"/>
        <v>0</v>
      </c>
      <c r="P17" s="846">
        <f t="shared" ref="P17" si="8">+I17+Y17</f>
        <v>-50.067843671773126</v>
      </c>
      <c r="Q17" s="846"/>
      <c r="R17" s="846">
        <f t="shared" ref="R17" si="9">+K17+AA17</f>
        <v>0</v>
      </c>
      <c r="S17" s="846"/>
      <c r="T17" s="846">
        <f t="shared" si="3"/>
        <v>80.599039860773487</v>
      </c>
      <c r="W17" s="846">
        <f>-SUM('6) Adj Detail'!H20:H28)/1000</f>
        <v>-77.027451802727882</v>
      </c>
      <c r="X17" s="846"/>
      <c r="Y17" s="848">
        <f t="shared" si="6"/>
        <v>-50.067843671773126</v>
      </c>
      <c r="Z17" s="849"/>
      <c r="AA17" s="849">
        <v>0</v>
      </c>
      <c r="AB17" s="850"/>
      <c r="AC17" s="846">
        <f t="shared" si="4"/>
        <v>80.599039860773487</v>
      </c>
      <c r="AE17" s="822"/>
      <c r="AG17" s="830"/>
      <c r="AH17" s="824"/>
      <c r="AK17" s="865"/>
    </row>
    <row r="18" spans="2:37">
      <c r="C18" s="821"/>
      <c r="D18" s="840"/>
      <c r="E18" s="821"/>
      <c r="F18" s="845"/>
      <c r="G18" s="824"/>
      <c r="I18" s="845"/>
      <c r="J18" s="845"/>
      <c r="K18" s="845"/>
      <c r="L18" s="845"/>
      <c r="M18" s="846"/>
      <c r="O18" s="825"/>
      <c r="P18" s="845"/>
      <c r="Q18" s="845"/>
      <c r="R18" s="845"/>
      <c r="S18" s="845"/>
      <c r="T18" s="846"/>
      <c r="W18" s="863"/>
      <c r="X18" s="822"/>
      <c r="Y18" s="863"/>
      <c r="Z18" s="845"/>
      <c r="AA18" s="863"/>
      <c r="AB18" s="845"/>
      <c r="AC18" s="857"/>
      <c r="AE18" s="822"/>
      <c r="AG18" s="830"/>
      <c r="AH18" s="824"/>
      <c r="AJ18" s="855" t="s">
        <v>2140</v>
      </c>
      <c r="AK18" s="865">
        <v>7.5980000000000006E-2</v>
      </c>
    </row>
    <row r="19" spans="2:37">
      <c r="B19" s="822">
        <f t="shared" ca="1" si="5"/>
        <v>7</v>
      </c>
      <c r="C19" s="821"/>
      <c r="D19" s="840"/>
      <c r="E19" s="821"/>
      <c r="F19" s="821" t="s">
        <v>2143</v>
      </c>
      <c r="G19" s="824"/>
      <c r="I19" s="860">
        <f>+SUM(I10:I16)</f>
        <v>18563.482429830452</v>
      </c>
      <c r="J19" s="845"/>
      <c r="K19" s="860">
        <f>+SUM(K10:K16)</f>
        <v>280062.0514221809</v>
      </c>
      <c r="L19" s="845"/>
      <c r="M19" s="860">
        <f>+SUM(M10:M16)</f>
        <v>3244.5080096761849</v>
      </c>
      <c r="O19" s="825"/>
      <c r="P19" s="860">
        <f>+SUM(P$10:P$18)</f>
        <v>17824.03658615868</v>
      </c>
      <c r="Q19" s="845"/>
      <c r="R19" s="860">
        <f>+SUM(R$10:R$18)</f>
        <v>280062.0514221809</v>
      </c>
      <c r="S19" s="845"/>
      <c r="T19" s="860">
        <f>+SUM(T$10:T$18)</f>
        <v>4434.8653460075002</v>
      </c>
      <c r="W19" s="845">
        <f>+SUM(W$10:W$18)</f>
        <v>-77.027451802727882</v>
      </c>
      <c r="X19" s="845"/>
      <c r="Y19" s="845">
        <f>+SUM(Y$10:Y$18)</f>
        <v>-739.44584367177322</v>
      </c>
      <c r="Z19" s="845"/>
      <c r="AA19" s="845">
        <f>+SUM(AA$10:AA$18)</f>
        <v>0</v>
      </c>
      <c r="AB19" s="845"/>
      <c r="AC19" s="845">
        <f>+SUM(AC$10:AC$18)</f>
        <v>1190.3573363313144</v>
      </c>
      <c r="AE19" s="822"/>
      <c r="AG19" s="830"/>
      <c r="AH19" s="824"/>
      <c r="AJ19" s="855"/>
      <c r="AK19" s="851"/>
    </row>
    <row r="20" spans="2:37">
      <c r="G20" s="824"/>
      <c r="W20" s="822"/>
      <c r="X20" s="822"/>
      <c r="Y20" s="822"/>
      <c r="Z20" s="822"/>
      <c r="AA20" s="822"/>
      <c r="AE20" s="822"/>
      <c r="AG20" s="830"/>
      <c r="AH20" s="824"/>
      <c r="AJ20" s="855" t="s">
        <v>2141</v>
      </c>
      <c r="AK20" s="846">
        <f>+K42</f>
        <v>300860.72569764138</v>
      </c>
    </row>
    <row r="21" spans="2:37">
      <c r="B21" s="847" t="s">
        <v>2144</v>
      </c>
      <c r="D21" s="908"/>
      <c r="G21" s="824"/>
      <c r="W21" s="846"/>
      <c r="X21" s="846"/>
      <c r="Y21" s="846"/>
      <c r="Z21" s="846"/>
      <c r="AA21" s="846"/>
      <c r="AB21" s="850"/>
      <c r="AC21" s="850"/>
      <c r="AE21" s="822"/>
      <c r="AG21" s="830"/>
      <c r="AH21" s="824"/>
      <c r="AJ21" s="855"/>
    </row>
    <row r="22" spans="2:37">
      <c r="B22" s="822">
        <f t="shared" ca="1" si="5"/>
        <v>8</v>
      </c>
      <c r="D22" s="908" t="s">
        <v>911</v>
      </c>
      <c r="F22" s="822" t="str">
        <f>+INDEX('6) Adj Detail'!$6:$6&amp;" "&amp;'6) Adj Detail'!$7:$7&amp;" "&amp;'6) Adj Detail'!$8:$8,1,MATCH($D22,'6) Adj Detail'!$9:$9,0))</f>
        <v>Interest  Coordination Adjustment</v>
      </c>
      <c r="G22" s="824"/>
      <c r="I22" s="861">
        <v>-274.82690323425874</v>
      </c>
      <c r="J22" s="846"/>
      <c r="K22" s="861">
        <v>0</v>
      </c>
      <c r="L22" s="846"/>
      <c r="M22" s="846">
        <f t="shared" ref="M22:M33" si="10">+($K22*$AK$15-$I22)/$AI$7</f>
        <v>442.41538888320372</v>
      </c>
      <c r="P22" s="846">
        <f t="shared" ref="P22:P30" si="11">+I22+Y22</f>
        <v>-387.34430741478695</v>
      </c>
      <c r="Q22" s="846"/>
      <c r="R22" s="846">
        <f t="shared" ref="R22:R30" si="12">+K22+AA22</f>
        <v>0</v>
      </c>
      <c r="S22" s="846"/>
      <c r="T22" s="846">
        <f t="shared" ref="T22:T33" si="13">+($R22*$AK$15-$P22)/$AI$7</f>
        <v>623.54551312080673</v>
      </c>
      <c r="W22" s="846">
        <v>0</v>
      </c>
      <c r="X22" s="846"/>
      <c r="Y22" s="848">
        <f>-('6) Adj Detail'!J29-'[7]Exh MPP-5 - Summary of Adj'!$L$33)/1000</f>
        <v>-112.51740418052819</v>
      </c>
      <c r="Z22" s="846"/>
      <c r="AA22" s="846">
        <v>0</v>
      </c>
      <c r="AB22" s="850"/>
      <c r="AC22" s="846">
        <f t="shared" ref="AC22:AC33" si="14">+($AA22*$AK$15-$Y22)/$AI$7</f>
        <v>181.13012423760301</v>
      </c>
      <c r="AE22" s="822" t="s">
        <v>2216</v>
      </c>
      <c r="AG22" s="830"/>
      <c r="AH22" s="824"/>
      <c r="AJ22" s="855" t="s">
        <v>2142</v>
      </c>
      <c r="AK22" s="846">
        <f>-((AK20*AK18)-(AK20*AK15))/AI7</f>
        <v>-1210.8113633779512</v>
      </c>
    </row>
    <row r="23" spans="2:37">
      <c r="B23" s="822">
        <f t="shared" ca="1" si="5"/>
        <v>9</v>
      </c>
      <c r="D23" s="908" t="s">
        <v>912</v>
      </c>
      <c r="F23" s="822" t="str">
        <f>+INDEX('6) Adj Detail'!$6:$6&amp;" "&amp;'6) Adj Detail'!$7:$7&amp;" "&amp;'6) Adj Detail'!$8:$8,1,MATCH($D23,'6) Adj Detail'!$9:$9,0))</f>
        <v>Pro Forma Wage Adjustment</v>
      </c>
      <c r="G23" s="824"/>
      <c r="I23" s="861">
        <v>-934.59314236457578</v>
      </c>
      <c r="J23" s="846"/>
      <c r="K23" s="861">
        <v>0</v>
      </c>
      <c r="L23" s="846"/>
      <c r="M23" s="846">
        <f t="shared" si="10"/>
        <v>1504.5047761366934</v>
      </c>
      <c r="P23" s="846">
        <f t="shared" si="11"/>
        <v>-434.4673777922543</v>
      </c>
      <c r="Q23" s="846"/>
      <c r="R23" s="846">
        <f t="shared" si="12"/>
        <v>0</v>
      </c>
      <c r="S23" s="846"/>
      <c r="T23" s="846">
        <f t="shared" si="13"/>
        <v>699.40406721820989</v>
      </c>
      <c r="W23" s="846">
        <f>-(SUM('[8]Exh KMH-2 Adjustments Pg 2'!$S$24:$S$32)-1437836)/1000</f>
        <v>769.42425318818687</v>
      </c>
      <c r="X23" s="846"/>
      <c r="Y23" s="848">
        <f>+W23*(1-$AI$8)</f>
        <v>500.12576457232149</v>
      </c>
      <c r="Z23" s="846"/>
      <c r="AA23" s="846">
        <v>0</v>
      </c>
      <c r="AB23" s="850"/>
      <c r="AC23" s="846">
        <f t="shared" si="14"/>
        <v>-805.10070891848352</v>
      </c>
      <c r="AE23" s="822" t="s">
        <v>2203</v>
      </c>
      <c r="AG23" s="830"/>
      <c r="AH23" s="824"/>
      <c r="AJ23" s="855"/>
    </row>
    <row r="24" spans="2:37">
      <c r="B24" s="822">
        <f t="shared" ca="1" si="5"/>
        <v>10</v>
      </c>
      <c r="D24" s="908" t="s">
        <v>1134</v>
      </c>
      <c r="F24" s="822" t="str">
        <f>+INDEX('6) Adj Detail'!$6:$6&amp;" "&amp;'6) Adj Detail'!$7:$7&amp;" "&amp;'6) Adj Detail'!$8:$8,1,MATCH($D24,'6) Adj Detail'!$9:$9,0))</f>
        <v>Pro Forma Plant Additions</v>
      </c>
      <c r="G24" s="824"/>
      <c r="I24" s="861">
        <v>-280.07485677817164</v>
      </c>
      <c r="J24" s="846"/>
      <c r="K24" s="861">
        <v>17820.192787326225</v>
      </c>
      <c r="L24" s="846"/>
      <c r="M24" s="846">
        <f t="shared" si="10"/>
        <v>2558.7757701926798</v>
      </c>
      <c r="P24" s="846">
        <f t="shared" si="11"/>
        <v>48.826481390642016</v>
      </c>
      <c r="Q24" s="846"/>
      <c r="R24" s="846">
        <f t="shared" si="12"/>
        <v>4744.6654887625027</v>
      </c>
      <c r="S24" s="846"/>
      <c r="T24" s="846">
        <f t="shared" si="13"/>
        <v>482.63556782511716</v>
      </c>
      <c r="W24" s="846">
        <f>-'7) P-3 Pro Forma Capital'!H27/1000</f>
        <v>506.00205872125179</v>
      </c>
      <c r="X24" s="846"/>
      <c r="Y24" s="848">
        <f>+W24*(1-$AI$8)</f>
        <v>328.90133816881365</v>
      </c>
      <c r="Z24" s="846"/>
      <c r="AA24" s="846">
        <f>+'7) P-3 Pro Forma Capital'!H28/1000</f>
        <v>-13075.527298563722</v>
      </c>
      <c r="AB24" s="850"/>
      <c r="AC24" s="846">
        <f t="shared" si="14"/>
        <v>-2076.1402023675628</v>
      </c>
      <c r="AE24" s="822" t="s">
        <v>2193</v>
      </c>
      <c r="AG24" s="830"/>
      <c r="AH24" s="824"/>
      <c r="AJ24" s="855"/>
      <c r="AK24" s="846"/>
    </row>
    <row r="25" spans="2:37">
      <c r="B25" s="822">
        <f t="shared" ca="1" si="5"/>
        <v>11</v>
      </c>
      <c r="D25" s="908" t="s">
        <v>913</v>
      </c>
      <c r="F25" s="822" t="str">
        <f>+INDEX('6) Adj Detail'!$6:$6&amp;" "&amp;'6) Adj Detail'!$7:$7&amp;" "&amp;'6) Adj Detail'!$8:$8,1,MATCH($D25,'6) Adj Detail'!$9:$9,0))</f>
        <v xml:space="preserve">Rate Case Costs </v>
      </c>
      <c r="G25" s="824"/>
      <c r="I25" s="861">
        <v>-194.03256600000003</v>
      </c>
      <c r="J25" s="846"/>
      <c r="K25" s="861">
        <v>0</v>
      </c>
      <c r="L25" s="846"/>
      <c r="M25" s="846">
        <f t="shared" si="10"/>
        <v>312.35294701015675</v>
      </c>
      <c r="P25" s="846">
        <f t="shared" si="11"/>
        <v>-61.385590499999978</v>
      </c>
      <c r="Q25" s="846"/>
      <c r="R25" s="846">
        <f t="shared" si="12"/>
        <v>0</v>
      </c>
      <c r="S25" s="846"/>
      <c r="T25" s="846">
        <f t="shared" si="13"/>
        <v>98.818309173078063</v>
      </c>
      <c r="W25" s="846">
        <f>+('8) P-4 Rate Case Costs'!G13+'8) P-4 Rate Case Costs'!F13-'8) P-4 Rate Case Costs'!I13)/1000</f>
        <v>204.07227000000006</v>
      </c>
      <c r="X25" s="846"/>
      <c r="Y25" s="848">
        <f>+W25*(1-$AI$8)</f>
        <v>132.64697550000005</v>
      </c>
      <c r="Z25" s="849"/>
      <c r="AA25" s="849">
        <v>0</v>
      </c>
      <c r="AB25" s="850"/>
      <c r="AC25" s="846">
        <f t="shared" si="14"/>
        <v>-213.53463783707872</v>
      </c>
      <c r="AE25" s="822" t="s">
        <v>2193</v>
      </c>
      <c r="AG25" s="830"/>
      <c r="AH25" s="824"/>
    </row>
    <row r="26" spans="2:37">
      <c r="B26" s="822">
        <f t="shared" ca="1" si="5"/>
        <v>12</v>
      </c>
      <c r="D26" s="908" t="s">
        <v>914</v>
      </c>
      <c r="F26" s="822" t="str">
        <f>+INDEX('6) Adj Detail'!$6:$6&amp;" "&amp;'6) Adj Detail'!$7:$7&amp;" "&amp;'6) Adj Detail'!$8:$8,1,MATCH($D26,'6) Adj Detail'!$9:$9,0))</f>
        <v>Pro Forma Compliance Department</v>
      </c>
      <c r="G26" s="824"/>
      <c r="I26" s="861">
        <v>-181.73601698761601</v>
      </c>
      <c r="J26" s="846"/>
      <c r="K26" s="861">
        <v>0</v>
      </c>
      <c r="L26" s="846"/>
      <c r="M26" s="846">
        <f t="shared" si="10"/>
        <v>292.55800536065561</v>
      </c>
      <c r="P26" s="846">
        <f t="shared" si="11"/>
        <v>-181.73601698761601</v>
      </c>
      <c r="Q26" s="846"/>
      <c r="R26" s="846">
        <f t="shared" si="12"/>
        <v>0</v>
      </c>
      <c r="S26" s="846"/>
      <c r="T26" s="846">
        <f t="shared" si="13"/>
        <v>292.55800536065561</v>
      </c>
      <c r="W26" s="846">
        <v>0</v>
      </c>
      <c r="X26" s="846"/>
      <c r="Y26" s="848">
        <f t="shared" ref="Y26:Y29" si="15">+W26*(1-$AI$8)</f>
        <v>0</v>
      </c>
      <c r="Z26" s="849"/>
      <c r="AA26" s="849">
        <v>0</v>
      </c>
      <c r="AB26" s="850"/>
      <c r="AC26" s="846">
        <f t="shared" si="14"/>
        <v>0</v>
      </c>
      <c r="AE26" s="822" t="s">
        <v>2203</v>
      </c>
      <c r="AG26" s="830"/>
      <c r="AH26" s="824"/>
      <c r="AK26" s="856"/>
    </row>
    <row r="27" spans="2:37">
      <c r="B27" s="822">
        <f t="shared" ca="1" si="5"/>
        <v>13</v>
      </c>
      <c r="D27" s="908" t="s">
        <v>915</v>
      </c>
      <c r="F27" s="822" t="str">
        <f>+INDEX('6) Adj Detail'!$6:$6&amp;" "&amp;'6) Adj Detail'!$7:$7&amp;" "&amp;'6) Adj Detail'!$8:$8,1,MATCH($D27,'6) Adj Detail'!$9:$9,0))</f>
        <v>MAOP Deferral Amortization</v>
      </c>
      <c r="G27" s="824"/>
      <c r="I27" s="861">
        <v>-623.40644210000005</v>
      </c>
      <c r="J27" s="846"/>
      <c r="K27" s="861">
        <v>0</v>
      </c>
      <c r="L27" s="846"/>
      <c r="M27" s="846">
        <f t="shared" si="10"/>
        <v>1003.5575129952755</v>
      </c>
      <c r="P27" s="846">
        <f t="shared" si="11"/>
        <v>-275.41026500000004</v>
      </c>
      <c r="Q27" s="846"/>
      <c r="R27" s="846">
        <f t="shared" si="12"/>
        <v>0</v>
      </c>
      <c r="S27" s="846"/>
      <c r="T27" s="846">
        <f t="shared" si="13"/>
        <v>443.35448261606888</v>
      </c>
      <c r="W27" s="846">
        <f>-('6) Adj Detail'!O21-'MAOP UG-160787 Deferral'!D13)/1000</f>
        <v>535.37873400000001</v>
      </c>
      <c r="X27" s="846"/>
      <c r="Y27" s="848">
        <f t="shared" si="15"/>
        <v>347.99617710000001</v>
      </c>
      <c r="Z27" s="849"/>
      <c r="AA27" s="849">
        <v>0</v>
      </c>
      <c r="AB27" s="850"/>
      <c r="AC27" s="846">
        <f t="shared" si="14"/>
        <v>-560.20303037920667</v>
      </c>
      <c r="AE27" s="822" t="s">
        <v>2203</v>
      </c>
      <c r="AG27" s="830"/>
      <c r="AH27" s="824"/>
    </row>
    <row r="28" spans="2:37">
      <c r="B28" s="822">
        <f t="shared" ca="1" si="5"/>
        <v>14</v>
      </c>
      <c r="D28" s="908" t="s">
        <v>916</v>
      </c>
      <c r="F28" s="822" t="str">
        <f>+INDEX('6) Adj Detail'!$6:$6&amp;" "&amp;'6) Adj Detail'!$7:$7&amp;" "&amp;'6) Adj Detail'!$8:$8,1,MATCH($D28,'6) Adj Detail'!$9:$9,0))</f>
        <v>Miscellaneous Charge Changes</v>
      </c>
      <c r="G28" s="824"/>
      <c r="I28" s="861">
        <v>-63.141521025664247</v>
      </c>
      <c r="J28" s="846"/>
      <c r="K28" s="861">
        <v>0</v>
      </c>
      <c r="L28" s="846"/>
      <c r="M28" s="846">
        <f t="shared" si="10"/>
        <v>101.64500000000001</v>
      </c>
      <c r="P28" s="846">
        <f t="shared" si="11"/>
        <v>-63.141521025664247</v>
      </c>
      <c r="Q28" s="846"/>
      <c r="R28" s="846">
        <f t="shared" si="12"/>
        <v>0</v>
      </c>
      <c r="S28" s="846"/>
      <c r="T28" s="846">
        <f t="shared" si="13"/>
        <v>101.64500000000001</v>
      </c>
      <c r="W28" s="846">
        <v>0</v>
      </c>
      <c r="X28" s="846"/>
      <c r="Y28" s="848">
        <f t="shared" si="15"/>
        <v>0</v>
      </c>
      <c r="Z28" s="849"/>
      <c r="AA28" s="849">
        <v>0</v>
      </c>
      <c r="AB28" s="850"/>
      <c r="AC28" s="846">
        <f t="shared" si="14"/>
        <v>0</v>
      </c>
      <c r="AE28" s="822" t="s">
        <v>2203</v>
      </c>
      <c r="AG28" s="830"/>
      <c r="AH28" s="824"/>
    </row>
    <row r="29" spans="2:37">
      <c r="B29" s="822">
        <f t="shared" ca="1" si="5"/>
        <v>15</v>
      </c>
      <c r="D29" s="908" t="s">
        <v>1135</v>
      </c>
      <c r="F29" s="822" t="str">
        <f>+INDEX('6) Adj Detail'!$6:$6&amp;" "&amp;'6) Adj Detail'!$7:$7&amp;" "&amp;'6) Adj Detail'!$8:$8,1,MATCH($D29,'6) Adj Detail'!$9:$9,0))</f>
        <v xml:space="preserve">CRM Adjustment </v>
      </c>
      <c r="G29" s="824"/>
      <c r="I29" s="861">
        <v>-50.707078613587541</v>
      </c>
      <c r="J29" s="846"/>
      <c r="K29" s="861">
        <v>2978.481488134224</v>
      </c>
      <c r="L29" s="846"/>
      <c r="M29" s="846">
        <f t="shared" si="10"/>
        <v>433.94624161551502</v>
      </c>
      <c r="P29" s="846">
        <f t="shared" si="11"/>
        <v>-50.707078613587541</v>
      </c>
      <c r="Q29" s="846"/>
      <c r="R29" s="846">
        <f t="shared" si="12"/>
        <v>2978.481488134224</v>
      </c>
      <c r="S29" s="846"/>
      <c r="T29" s="846">
        <f t="shared" si="13"/>
        <v>433.94624161551502</v>
      </c>
      <c r="W29" s="846">
        <v>0</v>
      </c>
      <c r="X29" s="846"/>
      <c r="Y29" s="848">
        <f t="shared" si="15"/>
        <v>0</v>
      </c>
      <c r="Z29" s="849"/>
      <c r="AA29" s="849">
        <v>0</v>
      </c>
      <c r="AB29" s="850"/>
      <c r="AC29" s="846">
        <f t="shared" si="14"/>
        <v>0</v>
      </c>
      <c r="AE29" s="822" t="s">
        <v>2203</v>
      </c>
      <c r="AG29" s="830"/>
      <c r="AH29" s="824"/>
    </row>
    <row r="30" spans="2:37">
      <c r="B30" s="822">
        <f t="shared" ca="1" si="5"/>
        <v>16</v>
      </c>
      <c r="D30" s="908" t="s">
        <v>1136</v>
      </c>
      <c r="F30" s="822" t="str">
        <f>+INDEX('6) Adj Detail'!$6:$6&amp;" "&amp;'6) Adj Detail'!$7:$7&amp;" "&amp;'6) Adj Detail'!$8:$8,1,MATCH($D30,'6) Adj Detail'!$9:$9,0))</f>
        <v xml:space="preserve">Pro Forma Revenue </v>
      </c>
      <c r="G30" s="824"/>
      <c r="I30" s="861">
        <v>3242.7024018139673</v>
      </c>
      <c r="J30" s="846"/>
      <c r="K30" s="861">
        <v>0</v>
      </c>
      <c r="L30" s="846"/>
      <c r="M30" s="846">
        <f t="shared" si="10"/>
        <v>-5220.0910000000003</v>
      </c>
      <c r="P30" s="846">
        <f t="shared" si="11"/>
        <v>4537.4274018139677</v>
      </c>
      <c r="Q30" s="846"/>
      <c r="R30" s="846">
        <f t="shared" si="12"/>
        <v>0</v>
      </c>
      <c r="S30" s="846"/>
      <c r="T30" s="846">
        <f t="shared" si="13"/>
        <v>-7304.3347826530899</v>
      </c>
      <c r="W30" s="846">
        <v>0</v>
      </c>
      <c r="X30" s="846"/>
      <c r="Y30" s="848">
        <v>1294.7249999999999</v>
      </c>
      <c r="Z30" s="849"/>
      <c r="AA30" s="849">
        <v>0</v>
      </c>
      <c r="AB30" s="850"/>
      <c r="AC30" s="846">
        <f t="shared" si="14"/>
        <v>-2084.2437826530891</v>
      </c>
      <c r="AE30" s="822" t="s">
        <v>2314</v>
      </c>
      <c r="AG30" s="830"/>
      <c r="AH30" s="824"/>
    </row>
    <row r="31" spans="2:37">
      <c r="B31" s="822">
        <f t="shared" ca="1" si="5"/>
        <v>17</v>
      </c>
      <c r="D31" s="908" t="s">
        <v>2316</v>
      </c>
      <c r="F31" s="822" t="str">
        <f>+INDEX('6) Adj Detail'!$6:$6&amp;" "&amp;'6) Adj Detail'!$7:$7&amp;" "&amp;'6) Adj Detail'!$8:$8,1,MATCH($D31,'6) Adj Detail'!$9:$9,0))</f>
        <v xml:space="preserve">SERP Expense </v>
      </c>
      <c r="G31" s="824"/>
      <c r="I31" s="861">
        <v>0</v>
      </c>
      <c r="J31" s="846"/>
      <c r="K31" s="861">
        <v>0</v>
      </c>
      <c r="L31" s="846"/>
      <c r="M31" s="846">
        <f t="shared" si="10"/>
        <v>0</v>
      </c>
      <c r="P31" s="846">
        <f t="shared" ref="P31:P32" si="16">+I31+Y31</f>
        <v>355.32315</v>
      </c>
      <c r="Q31" s="846"/>
      <c r="R31" s="846">
        <f t="shared" ref="R31:R32" si="17">+K31+AA31</f>
        <v>0</v>
      </c>
      <c r="S31" s="846"/>
      <c r="T31" s="846">
        <f t="shared" si="13"/>
        <v>-571.99796576123185</v>
      </c>
      <c r="W31" s="846">
        <f>-'6) Adj Detail'!S25/1000</f>
        <v>546.65099999999995</v>
      </c>
      <c r="X31" s="846"/>
      <c r="Y31" s="848">
        <f t="shared" ref="Y31:Y32" si="18">+W31*(1-$AI$8)</f>
        <v>355.32315</v>
      </c>
      <c r="Z31" s="849"/>
      <c r="AA31" s="849">
        <v>0</v>
      </c>
      <c r="AB31" s="850"/>
      <c r="AC31" s="846">
        <f t="shared" si="14"/>
        <v>-571.99796576123185</v>
      </c>
      <c r="AE31" s="822" t="s">
        <v>2201</v>
      </c>
      <c r="AG31" s="830"/>
      <c r="AH31" s="824"/>
    </row>
    <row r="32" spans="2:37">
      <c r="B32" s="822">
        <f t="shared" ca="1" si="5"/>
        <v>18</v>
      </c>
      <c r="D32" s="908" t="s">
        <v>2318</v>
      </c>
      <c r="F32" s="822" t="str">
        <f>+INDEX('6) Adj Detail'!$6:$6&amp;" "&amp;'6) Adj Detail'!$7:$7&amp;" "&amp;'6) Adj Detail'!$8:$8,1,MATCH($D32,'6) Adj Detail'!$9:$9,0))</f>
        <v xml:space="preserve">Incentive Pay </v>
      </c>
      <c r="G32" s="824"/>
      <c r="I32" s="861">
        <v>0</v>
      </c>
      <c r="J32" s="846"/>
      <c r="K32" s="861">
        <v>0</v>
      </c>
      <c r="L32" s="846"/>
      <c r="M32" s="846">
        <f t="shared" si="10"/>
        <v>0</v>
      </c>
      <c r="P32" s="846">
        <f t="shared" si="16"/>
        <v>738.91655722365022</v>
      </c>
      <c r="Q32" s="846"/>
      <c r="R32" s="846">
        <f t="shared" si="17"/>
        <v>0</v>
      </c>
      <c r="S32" s="846"/>
      <c r="T32" s="846">
        <f t="shared" si="13"/>
        <v>-1189.5052928558716</v>
      </c>
      <c r="W32" s="846">
        <f>-'6) Adj Detail'!T25/1000</f>
        <v>1136.7947034210003</v>
      </c>
      <c r="X32" s="846"/>
      <c r="Y32" s="848">
        <f t="shared" si="18"/>
        <v>738.91655722365022</v>
      </c>
      <c r="Z32" s="849"/>
      <c r="AA32" s="849">
        <v>0</v>
      </c>
      <c r="AB32" s="850"/>
      <c r="AC32" s="846">
        <f t="shared" si="14"/>
        <v>-1189.5052928558716</v>
      </c>
      <c r="AE32" s="822" t="s">
        <v>2201</v>
      </c>
      <c r="AG32" s="830"/>
      <c r="AH32" s="824"/>
    </row>
    <row r="33" spans="2:35">
      <c r="B33" s="822">
        <f t="shared" ca="1" si="5"/>
        <v>19</v>
      </c>
      <c r="D33" s="908" t="s">
        <v>2319</v>
      </c>
      <c r="F33" s="822" t="str">
        <f>+INDEX('6) Adj Detail'!$6:$6&amp;" "&amp;'6) Adj Detail'!$7:$7&amp;" "&amp;'6) Adj Detail'!$8:$8,1,MATCH($D33,'6) Adj Detail'!$9:$9,0))</f>
        <v xml:space="preserve">Employee Arbitration </v>
      </c>
      <c r="G33" s="824"/>
      <c r="I33" s="861">
        <v>0</v>
      </c>
      <c r="J33" s="846"/>
      <c r="K33" s="861">
        <v>0</v>
      </c>
      <c r="L33" s="846"/>
      <c r="M33" s="846">
        <f t="shared" si="10"/>
        <v>0</v>
      </c>
      <c r="P33" s="846">
        <f t="shared" ref="P33" si="19">+I33+Y33</f>
        <v>136.9914</v>
      </c>
      <c r="Q33" s="846"/>
      <c r="R33" s="846">
        <f t="shared" ref="R33" si="20">+K33+AA33</f>
        <v>0</v>
      </c>
      <c r="S33" s="846"/>
      <c r="T33" s="846">
        <f t="shared" si="13"/>
        <v>-220.52827722253173</v>
      </c>
      <c r="W33" s="846">
        <f>-'6) Adj Detail'!U25/1000</f>
        <v>210.756</v>
      </c>
      <c r="X33" s="846"/>
      <c r="Y33" s="848">
        <f t="shared" ref="Y33" si="21">+W33*(1-$AI$8)</f>
        <v>136.9914</v>
      </c>
      <c r="Z33" s="849"/>
      <c r="AA33" s="849">
        <v>0</v>
      </c>
      <c r="AB33" s="850"/>
      <c r="AC33" s="846">
        <f t="shared" si="14"/>
        <v>-220.52827722253173</v>
      </c>
      <c r="AE33" s="822" t="s">
        <v>2201</v>
      </c>
      <c r="AG33" s="830"/>
      <c r="AH33" s="824"/>
    </row>
    <row r="34" spans="2:35">
      <c r="D34" s="908"/>
      <c r="G34" s="824"/>
      <c r="I34" s="861"/>
      <c r="J34" s="846"/>
      <c r="K34" s="861"/>
      <c r="L34" s="846"/>
      <c r="M34" s="846"/>
      <c r="P34" s="846"/>
      <c r="Q34" s="846"/>
      <c r="R34" s="846"/>
      <c r="S34" s="846"/>
      <c r="T34" s="846"/>
      <c r="W34" s="846"/>
      <c r="X34" s="846"/>
      <c r="Y34" s="848"/>
      <c r="Z34" s="849"/>
      <c r="AA34" s="849"/>
      <c r="AB34" s="850"/>
      <c r="AC34" s="846"/>
      <c r="AE34" s="822"/>
      <c r="AG34" s="830"/>
      <c r="AH34" s="824"/>
    </row>
    <row r="35" spans="2:35">
      <c r="D35" s="908"/>
      <c r="F35" s="821" t="s">
        <v>2150</v>
      </c>
      <c r="G35" s="824"/>
      <c r="I35" s="860">
        <f>+SUM(I19:I34)</f>
        <v>19203.666304540548</v>
      </c>
      <c r="J35" s="846"/>
      <c r="K35" s="860">
        <f>+SUM(K19:K34)</f>
        <v>300860.72569764138</v>
      </c>
      <c r="L35" s="846"/>
      <c r="M35" s="860">
        <f>+SUM(M19:M34)</f>
        <v>4674.1726518703654</v>
      </c>
      <c r="P35" s="860">
        <f>+SUM(P19:P34)</f>
        <v>22187.32941925303</v>
      </c>
      <c r="Q35" s="846"/>
      <c r="R35" s="860">
        <f>+SUM(R19:R34)</f>
        <v>287785.19839907764</v>
      </c>
      <c r="S35" s="846"/>
      <c r="T35" s="860">
        <f>+SUM(T19:T34)</f>
        <v>-1675.5937855557736</v>
      </c>
      <c r="W35" s="860">
        <f>+SUM(W19:W34)</f>
        <v>3832.0515675277106</v>
      </c>
      <c r="X35" s="846"/>
      <c r="Y35" s="860">
        <f>+SUM(Y19:Y34)</f>
        <v>2983.663114712484</v>
      </c>
      <c r="Z35" s="849"/>
      <c r="AA35" s="860">
        <f>+SUM(AA19:AA34)</f>
        <v>-13075.527298563722</v>
      </c>
      <c r="AB35" s="850"/>
      <c r="AC35" s="860">
        <f>+SUM(AC19:AC34)</f>
        <v>-6349.7664374261394</v>
      </c>
      <c r="AE35" s="822"/>
      <c r="AG35" s="830"/>
      <c r="AH35" s="824"/>
      <c r="AI35" s="846"/>
    </row>
    <row r="36" spans="2:35">
      <c r="B36" s="847" t="s">
        <v>2149</v>
      </c>
      <c r="D36" s="908"/>
      <c r="G36" s="824"/>
      <c r="I36" s="861"/>
      <c r="J36" s="846"/>
      <c r="K36" s="861"/>
      <c r="L36" s="846"/>
      <c r="M36" s="846"/>
      <c r="P36" s="846"/>
      <c r="Q36" s="846"/>
      <c r="R36" s="846"/>
      <c r="S36" s="846"/>
      <c r="T36" s="846"/>
      <c r="W36" s="846"/>
      <c r="X36" s="846"/>
      <c r="Y36" s="848"/>
      <c r="Z36" s="849"/>
      <c r="AA36" s="849"/>
      <c r="AB36" s="850"/>
      <c r="AC36" s="846"/>
      <c r="AE36" s="822"/>
      <c r="AG36" s="830"/>
      <c r="AH36" s="824"/>
    </row>
    <row r="37" spans="2:35">
      <c r="B37" s="822">
        <f t="shared" ca="1" si="5"/>
        <v>20</v>
      </c>
      <c r="D37" s="908" t="s">
        <v>2114</v>
      </c>
      <c r="F37" s="822" t="str">
        <f>+INDEX('6) Adj Detail'!$6:$6&amp;" "&amp;'6) Adj Detail'!$7:$7&amp;" "&amp;'6) Adj Detail'!$8:$8,1,MATCH($D37,'6) Adj Detail'!$9:$9,0))</f>
        <v>Restate Tax Expense</v>
      </c>
      <c r="G37" s="824"/>
      <c r="I37" s="861">
        <v>0</v>
      </c>
      <c r="J37" s="846"/>
      <c r="K37" s="861">
        <v>0</v>
      </c>
      <c r="L37" s="846"/>
      <c r="M37" s="846">
        <f t="shared" ref="M37" si="22">+($K37*$AK$15-$I37)/$AI$7</f>
        <v>0</v>
      </c>
      <c r="P37" s="846">
        <f t="shared" ref="P37:P40" si="23">+I37+Y37</f>
        <v>3117.4957102677199</v>
      </c>
      <c r="Q37" s="846"/>
      <c r="R37" s="846">
        <f t="shared" ref="R37:R40" si="24">+K37+AA37</f>
        <v>0</v>
      </c>
      <c r="S37" s="846"/>
      <c r="T37" s="846">
        <f>+($R37*$AK$15-$P37)/$AJ$7</f>
        <v>-4129.1733018155328</v>
      </c>
      <c r="W37" s="846">
        <v>0</v>
      </c>
      <c r="X37" s="846"/>
      <c r="Y37" s="848">
        <f>-'9) TCJA-1 Restate Tax Expense'!T29/1000</f>
        <v>3117.4957102677199</v>
      </c>
      <c r="Z37" s="849"/>
      <c r="AA37" s="849">
        <v>0</v>
      </c>
      <c r="AB37" s="850"/>
      <c r="AC37" s="846">
        <f>+($R37*$AK$15-$P37)/$AJ$7</f>
        <v>-4129.1733018155328</v>
      </c>
      <c r="AE37" s="822" t="s">
        <v>2164</v>
      </c>
      <c r="AG37" s="830"/>
      <c r="AH37" s="824"/>
    </row>
    <row r="38" spans="2:35">
      <c r="B38" s="822">
        <f t="shared" ca="1" si="5"/>
        <v>21</v>
      </c>
      <c r="D38" s="908" t="s">
        <v>2152</v>
      </c>
      <c r="F38" s="822" t="str">
        <f>+INDEX('6) Adj Detail'!$6:$6&amp;" "&amp;'6) Adj Detail'!$7:$7&amp;" "&amp;'6) Adj Detail'!$8:$8,1,MATCH($D38,'6) Adj Detail'!$9:$9,0))</f>
        <v>Excess  Deferred Taxes</v>
      </c>
      <c r="G38" s="824"/>
      <c r="I38" s="861"/>
      <c r="J38" s="846"/>
      <c r="K38" s="861"/>
      <c r="L38" s="846"/>
      <c r="M38" s="846"/>
      <c r="P38" s="846">
        <f t="shared" si="23"/>
        <v>1870.2164053865711</v>
      </c>
      <c r="Q38" s="846"/>
      <c r="R38" s="846">
        <f t="shared" si="24"/>
        <v>935.1082026932836</v>
      </c>
      <c r="S38" s="846"/>
      <c r="T38" s="846">
        <f>+($R38*$AK$15-$P38)/$AJ$7</f>
        <v>-2386.1219435164512</v>
      </c>
      <c r="W38" s="846">
        <v>0</v>
      </c>
      <c r="X38" s="846"/>
      <c r="Y38" s="848">
        <f>+'6) Adj Detail'!X32/1000</f>
        <v>1870.2164053865711</v>
      </c>
      <c r="Z38" s="849"/>
      <c r="AA38" s="849">
        <f>+'6) Adj Detail'!X41/1000</f>
        <v>935.1082026932836</v>
      </c>
      <c r="AB38" s="850"/>
      <c r="AC38" s="846">
        <f t="shared" ref="AC38:AC39" si="25">+($R38*$AK$15-$P38)/$AJ$7</f>
        <v>-2386.1219435164512</v>
      </c>
      <c r="AE38" s="822" t="s">
        <v>2164</v>
      </c>
      <c r="AG38" s="830"/>
      <c r="AH38" s="824"/>
    </row>
    <row r="39" spans="2:35">
      <c r="B39" s="822">
        <f t="shared" ca="1" si="5"/>
        <v>22</v>
      </c>
      <c r="D39" s="908" t="s">
        <v>2153</v>
      </c>
      <c r="F39" s="822" t="str">
        <f>+INDEX('6) Adj Detail'!$6:$6&amp;" "&amp;'6) Adj Detail'!$7:$7&amp;" "&amp;'6) Adj Detail'!$8:$8,1,MATCH($D39,'6) Adj Detail'!$9:$9,0))</f>
        <v>01/18 - 7/18 TCJA Deferral</v>
      </c>
      <c r="G39" s="824"/>
      <c r="I39" s="861"/>
      <c r="J39" s="846"/>
      <c r="K39" s="861"/>
      <c r="L39" s="846"/>
      <c r="M39" s="846"/>
      <c r="P39" s="846">
        <f t="shared" si="23"/>
        <v>1520.4337297947436</v>
      </c>
      <c r="Q39" s="846"/>
      <c r="R39" s="846">
        <f t="shared" si="24"/>
        <v>0</v>
      </c>
      <c r="S39" s="846"/>
      <c r="T39" s="846">
        <f>+($R39*$AK$15-$P39)/$AJ$7</f>
        <v>-2013.8389745239208</v>
      </c>
      <c r="W39" s="846">
        <f>-'11) Deferral Amort'!F33</f>
        <v>1924.5996579680298</v>
      </c>
      <c r="X39" s="846"/>
      <c r="Y39" s="848">
        <f>+W39*(1-$AJ$8)</f>
        <v>1520.4337297947436</v>
      </c>
      <c r="Z39" s="849"/>
      <c r="AA39" s="849">
        <v>0</v>
      </c>
      <c r="AB39" s="850"/>
      <c r="AC39" s="846">
        <f t="shared" si="25"/>
        <v>-2013.8389745239208</v>
      </c>
      <c r="AE39" s="822" t="s">
        <v>2164</v>
      </c>
      <c r="AG39" s="830"/>
      <c r="AH39" s="824"/>
    </row>
    <row r="40" spans="2:35">
      <c r="B40" s="822">
        <f t="shared" ca="1" si="5"/>
        <v>23</v>
      </c>
      <c r="D40" s="908" t="s">
        <v>2154</v>
      </c>
      <c r="F40" s="822" t="str">
        <f>+INDEX('6) Adj Detail'!$6:$6&amp;" "&amp;'6) Adj Detail'!$7:$7&amp;" "&amp;'6) Adj Detail'!$8:$8,1,MATCH($D40,'6) Adj Detail'!$9:$9,0))</f>
        <v>TCJA Conversion Factor</v>
      </c>
      <c r="G40" s="824"/>
      <c r="I40" s="861"/>
      <c r="J40" s="846"/>
      <c r="K40" s="861"/>
      <c r="L40" s="846"/>
      <c r="M40" s="846"/>
      <c r="P40" s="846">
        <f t="shared" si="23"/>
        <v>0</v>
      </c>
      <c r="Q40" s="846"/>
      <c r="R40" s="846">
        <f t="shared" si="24"/>
        <v>0</v>
      </c>
      <c r="S40" s="846"/>
      <c r="T40" s="846">
        <f>$T$35*($AI$7/$AJ$7-1)</f>
        <v>296.94067085798508</v>
      </c>
      <c r="W40" s="846">
        <v>0</v>
      </c>
      <c r="X40" s="846"/>
      <c r="Y40" s="848">
        <f t="shared" ref="Y40" si="26">+W40*(1-$AI$8)+$AA40*$AK$13*$AI$8</f>
        <v>0</v>
      </c>
      <c r="Z40" s="849"/>
      <c r="AA40" s="849">
        <v>0</v>
      </c>
      <c r="AB40" s="850"/>
      <c r="AC40" s="846">
        <f>$T$35*($AI$7/$AJ$7-1)</f>
        <v>296.94067085798508</v>
      </c>
      <c r="AE40" s="822" t="s">
        <v>2164</v>
      </c>
      <c r="AG40" s="830"/>
      <c r="AH40" s="824"/>
    </row>
    <row r="41" spans="2:35">
      <c r="D41" s="908"/>
      <c r="G41" s="824"/>
      <c r="I41" s="857"/>
      <c r="J41" s="846"/>
      <c r="K41" s="857"/>
      <c r="L41" s="846"/>
      <c r="M41" s="857"/>
      <c r="P41" s="857"/>
      <c r="Q41" s="846"/>
      <c r="R41" s="857"/>
      <c r="S41" s="846"/>
      <c r="T41" s="857"/>
      <c r="W41" s="862"/>
      <c r="X41" s="850"/>
      <c r="Y41" s="862"/>
      <c r="Z41" s="850"/>
      <c r="AA41" s="862"/>
      <c r="AB41" s="850"/>
      <c r="AC41" s="862"/>
      <c r="AG41" s="830"/>
      <c r="AH41" s="824"/>
    </row>
    <row r="42" spans="2:35" ht="13.5" thickBot="1">
      <c r="B42" s="822">
        <f t="shared" ca="1" si="5"/>
        <v>24</v>
      </c>
      <c r="D42" s="908"/>
      <c r="F42" s="821" t="s">
        <v>2151</v>
      </c>
      <c r="G42" s="824"/>
      <c r="I42" s="858">
        <f>+SUM(I35:I41)</f>
        <v>19203.666304540548</v>
      </c>
      <c r="J42" s="846"/>
      <c r="K42" s="858">
        <f>+SUM(K35:K41)</f>
        <v>300860.72569764138</v>
      </c>
      <c r="L42" s="846"/>
      <c r="M42" s="858">
        <f>+SUM(M35:M41)</f>
        <v>4674.1726518703654</v>
      </c>
      <c r="P42" s="858">
        <f>+SUM(P35:P41)</f>
        <v>28695.475264702065</v>
      </c>
      <c r="Q42" s="846"/>
      <c r="R42" s="858">
        <f>+SUM(R35:R41)</f>
        <v>288720.30660177092</v>
      </c>
      <c r="S42" s="846"/>
      <c r="T42" s="858">
        <f>+SUM(T35:T41)</f>
        <v>-9907.7873345536937</v>
      </c>
      <c r="W42" s="858">
        <f>+SUM(W35:W41)</f>
        <v>5756.6512254957406</v>
      </c>
      <c r="X42" s="850"/>
      <c r="Y42" s="858">
        <f>+SUM(Y35:Y41)</f>
        <v>9491.8089601615193</v>
      </c>
      <c r="Z42" s="846"/>
      <c r="AA42" s="858">
        <f>+SUM(AA35:AA41)</f>
        <v>-12140.419095870438</v>
      </c>
      <c r="AB42" s="846"/>
      <c r="AC42" s="858">
        <f>+SUM(AC35:AC41)</f>
        <v>-14581.959986424059</v>
      </c>
      <c r="AG42" s="830"/>
      <c r="AH42" s="824"/>
    </row>
    <row r="43" spans="2:35" ht="13.5" thickTop="1">
      <c r="K43" s="866" t="s">
        <v>2147</v>
      </c>
      <c r="L43" s="867"/>
      <c r="M43" s="868">
        <f>+($K42*$AK$15-$I42)/$AI$7-M42</f>
        <v>0</v>
      </c>
      <c r="R43" s="866" t="s">
        <v>2147</v>
      </c>
      <c r="S43" s="867"/>
      <c r="T43" s="876">
        <f>+($R42*$AK$15-$P42)/$AJ$7-T42</f>
        <v>0</v>
      </c>
      <c r="W43" s="850"/>
      <c r="X43" s="850"/>
      <c r="Y43" s="850"/>
      <c r="Z43" s="850"/>
      <c r="AA43" s="850"/>
      <c r="AB43" s="850"/>
      <c r="AC43" s="850"/>
      <c r="AG43" s="830"/>
      <c r="AH43" s="824"/>
    </row>
    <row r="44" spans="2:35" ht="13.5" thickBot="1">
      <c r="K44" s="855" t="s">
        <v>2145</v>
      </c>
      <c r="L44" s="855"/>
      <c r="M44" s="859">
        <v>5884.9840152483121</v>
      </c>
      <c r="R44" s="855" t="s">
        <v>2146</v>
      </c>
      <c r="T44" s="859">
        <f>+'3) Rev Req Calc'!F17/1000</f>
        <v>-9907.8265857626684</v>
      </c>
      <c r="AG44" s="830"/>
      <c r="AH44" s="824"/>
    </row>
    <row r="45" spans="2:35" ht="13.5" thickTop="1">
      <c r="T45" s="846"/>
      <c r="AG45" s="830"/>
      <c r="AH45" s="824"/>
    </row>
    <row r="46" spans="2:35" ht="13.5" thickBot="1">
      <c r="K46" s="822" t="s">
        <v>2166</v>
      </c>
      <c r="M46" s="858">
        <f>+-M44+M42</f>
        <v>-1210.8113633779467</v>
      </c>
      <c r="R46" s="855" t="s">
        <v>2147</v>
      </c>
      <c r="T46" s="858">
        <f>+T42-T44</f>
        <v>3.9251208974746987E-2</v>
      </c>
      <c r="W46" s="850"/>
      <c r="Y46" s="850"/>
      <c r="AG46" s="830"/>
      <c r="AH46" s="824"/>
    </row>
    <row r="47" spans="2:35" ht="13.5" thickTop="1">
      <c r="K47" s="855"/>
      <c r="M47" s="846"/>
      <c r="AG47" s="830"/>
      <c r="AH47" s="824"/>
    </row>
    <row r="48" spans="2:35" ht="13.5" thickBot="1">
      <c r="K48" s="855" t="s">
        <v>2167</v>
      </c>
      <c r="M48" s="858">
        <f>+AK22-M46</f>
        <v>-4.5474735088646412E-12</v>
      </c>
      <c r="AG48" s="830"/>
      <c r="AH48" s="824"/>
    </row>
    <row r="49" spans="1:39" ht="13.5" thickTop="1">
      <c r="AG49" s="830"/>
      <c r="AH49" s="824"/>
    </row>
    <row r="50" spans="1:39">
      <c r="AG50" s="830"/>
      <c r="AH50" s="824"/>
    </row>
    <row r="57" spans="1:39" s="829" customFormat="1">
      <c r="A57" s="822"/>
      <c r="B57" s="822"/>
      <c r="C57" s="822"/>
      <c r="D57" s="828"/>
      <c r="E57" s="822"/>
      <c r="F57" s="822"/>
      <c r="H57" s="824"/>
      <c r="I57" s="822"/>
      <c r="J57" s="822"/>
      <c r="K57" s="822"/>
      <c r="L57" s="822"/>
      <c r="M57" s="822"/>
      <c r="O57" s="827"/>
      <c r="P57" s="822"/>
      <c r="Q57" s="822"/>
      <c r="R57" s="822"/>
      <c r="S57" s="822"/>
      <c r="T57" s="822"/>
      <c r="U57" s="822"/>
      <c r="V57" s="827"/>
      <c r="AI57" s="822"/>
      <c r="AJ57" s="822"/>
      <c r="AK57" s="822"/>
      <c r="AL57" s="822"/>
      <c r="AM57" s="822"/>
    </row>
    <row r="58" spans="1:39" s="829" customFormat="1">
      <c r="A58" s="822"/>
      <c r="B58" s="822"/>
      <c r="C58" s="822"/>
      <c r="D58" s="828"/>
      <c r="E58" s="822"/>
      <c r="F58" s="822"/>
      <c r="H58" s="824"/>
      <c r="I58" s="822"/>
      <c r="J58" s="822"/>
      <c r="K58" s="822"/>
      <c r="L58" s="822"/>
      <c r="M58" s="822"/>
      <c r="O58" s="827"/>
      <c r="P58" s="822"/>
      <c r="Q58" s="822"/>
      <c r="R58" s="822"/>
      <c r="S58" s="822"/>
      <c r="T58" s="822"/>
      <c r="U58" s="822"/>
      <c r="V58" s="827"/>
      <c r="AI58" s="822"/>
      <c r="AJ58" s="822"/>
      <c r="AK58" s="822"/>
      <c r="AL58" s="822"/>
      <c r="AM58" s="822"/>
    </row>
    <row r="59" spans="1:39" s="829" customFormat="1">
      <c r="A59" s="822"/>
      <c r="B59" s="822"/>
      <c r="C59" s="822"/>
      <c r="D59" s="828"/>
      <c r="E59" s="822"/>
      <c r="F59" s="822"/>
      <c r="H59" s="824"/>
      <c r="I59" s="822"/>
      <c r="J59" s="822"/>
      <c r="K59" s="822"/>
      <c r="L59" s="822"/>
      <c r="M59" s="822"/>
      <c r="O59" s="827"/>
      <c r="P59" s="822"/>
      <c r="Q59" s="822"/>
      <c r="R59" s="822"/>
      <c r="S59" s="822"/>
      <c r="T59" s="822"/>
      <c r="U59" s="822"/>
      <c r="V59" s="827"/>
      <c r="AI59" s="822"/>
      <c r="AJ59" s="822"/>
      <c r="AK59" s="822"/>
      <c r="AL59" s="822"/>
      <c r="AM59" s="822"/>
    </row>
  </sheetData>
  <mergeCells count="1">
    <mergeCell ref="A3:M3"/>
  </mergeCells>
  <pageMargins left="0.25" right="0.25" top="1.5" bottom="0.75" header="0.8" footer="0.3"/>
  <pageSetup scale="75" orientation="portrait" r:id="rId1"/>
  <headerFooter>
    <oddFooter>&amp;R&amp;"Times New Roman,Regular"&amp;9 26678.897\4829-5163-7600.v1</oddFooter>
  </headerFooter>
  <colBreaks count="1" manualBreakCount="1">
    <brk id="20" max="4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46"/>
  <sheetViews>
    <sheetView topLeftCell="A14" workbookViewId="0">
      <selection activeCell="G21" sqref="G21"/>
    </sheetView>
  </sheetViews>
  <sheetFormatPr defaultColWidth="9.140625" defaultRowHeight="15.75"/>
  <cols>
    <col min="1" max="1" width="1.42578125" style="4" bestFit="1" customWidth="1"/>
    <col min="2" max="2" width="4.85546875" style="4" bestFit="1" customWidth="1"/>
    <col min="3" max="3" width="9.140625" style="4"/>
    <col min="4" max="4" width="54.140625" style="4" bestFit="1" customWidth="1"/>
    <col min="5" max="5" width="16.85546875" style="4" bestFit="1" customWidth="1"/>
    <col min="6" max="16384" width="9.140625" style="4"/>
  </cols>
  <sheetData>
    <row r="1" spans="2:8">
      <c r="D1" s="3"/>
      <c r="E1" s="3"/>
      <c r="F1" s="3"/>
      <c r="G1" s="3"/>
      <c r="H1" s="3"/>
    </row>
    <row r="2" spans="2:8">
      <c r="C2" s="1244" t="s">
        <v>53</v>
      </c>
      <c r="D2" s="1244"/>
      <c r="E2" s="1244"/>
      <c r="F2" s="3"/>
      <c r="G2" s="3"/>
      <c r="H2" s="3"/>
    </row>
    <row r="3" spans="2:8">
      <c r="C3" s="1244" t="s">
        <v>1659</v>
      </c>
      <c r="D3" s="1244"/>
      <c r="E3" s="1244"/>
      <c r="F3" s="3"/>
      <c r="G3" s="3"/>
      <c r="H3" s="3"/>
    </row>
    <row r="4" spans="2:8">
      <c r="C4" s="1244" t="s">
        <v>1665</v>
      </c>
      <c r="D4" s="1244"/>
      <c r="E4" s="1244"/>
      <c r="F4" s="3"/>
      <c r="G4" s="3"/>
      <c r="H4" s="3"/>
    </row>
    <row r="5" spans="2:8">
      <c r="C5" s="1244" t="s">
        <v>1650</v>
      </c>
      <c r="D5" s="1244"/>
      <c r="E5" s="1244"/>
      <c r="F5" s="3"/>
      <c r="G5" s="3"/>
      <c r="H5" s="3"/>
    </row>
    <row r="6" spans="2:8">
      <c r="C6" s="1244" t="s">
        <v>971</v>
      </c>
      <c r="D6" s="1244"/>
      <c r="E6" s="1244"/>
      <c r="F6" s="3"/>
      <c r="G6" s="3"/>
      <c r="H6" s="3"/>
    </row>
    <row r="9" spans="2:8">
      <c r="B9" s="338"/>
      <c r="C9" s="339"/>
      <c r="D9" s="340" t="s">
        <v>53</v>
      </c>
      <c r="E9" s="341"/>
    </row>
    <row r="10" spans="2:8">
      <c r="B10" s="342"/>
      <c r="C10" s="17"/>
      <c r="D10" s="343" t="s">
        <v>1650</v>
      </c>
      <c r="E10" s="344"/>
    </row>
    <row r="11" spans="2:8">
      <c r="B11" s="345"/>
      <c r="C11" s="346"/>
      <c r="D11" s="347" t="s">
        <v>367</v>
      </c>
      <c r="E11" s="348"/>
    </row>
    <row r="12" spans="2:8">
      <c r="B12" s="349"/>
      <c r="C12" s="17"/>
      <c r="D12" s="17"/>
      <c r="E12" s="349"/>
    </row>
    <row r="13" spans="2:8">
      <c r="B13" s="350" t="s">
        <v>368</v>
      </c>
      <c r="C13" s="16"/>
      <c r="D13" s="16"/>
      <c r="E13" s="350" t="s">
        <v>52</v>
      </c>
    </row>
    <row r="14" spans="2:8">
      <c r="B14" s="351" t="s">
        <v>369</v>
      </c>
      <c r="C14" s="347"/>
      <c r="D14" s="347" t="s">
        <v>370</v>
      </c>
      <c r="E14" s="351" t="s">
        <v>367</v>
      </c>
    </row>
    <row r="15" spans="2:8">
      <c r="B15" s="352"/>
      <c r="C15" s="353"/>
      <c r="D15" s="353" t="s">
        <v>105</v>
      </c>
      <c r="E15" s="352" t="s">
        <v>106</v>
      </c>
    </row>
    <row r="16" spans="2:8">
      <c r="B16" s="354"/>
      <c r="C16" s="17"/>
      <c r="D16" s="17"/>
      <c r="E16" s="354"/>
    </row>
    <row r="17" spans="1:7">
      <c r="B17" s="350">
        <v>1</v>
      </c>
      <c r="C17" s="17"/>
      <c r="D17" s="17" t="s">
        <v>371</v>
      </c>
      <c r="E17" s="355">
        <f>-'Working Capital Work Paper'!U342</f>
        <v>401629941.89166671</v>
      </c>
      <c r="G17" s="17"/>
    </row>
    <row r="18" spans="1:7">
      <c r="B18" s="350"/>
      <c r="C18" s="17"/>
      <c r="D18" s="17"/>
      <c r="E18" s="356"/>
    </row>
    <row r="19" spans="1:7">
      <c r="B19" s="350">
        <v>2</v>
      </c>
      <c r="C19" s="17"/>
      <c r="D19" s="17" t="s">
        <v>372</v>
      </c>
      <c r="E19" s="357">
        <f>+'Working Capital Work Paper'!V342</f>
        <v>333641208.78666663</v>
      </c>
    </row>
    <row r="20" spans="1:7">
      <c r="B20" s="350">
        <v>3</v>
      </c>
      <c r="C20" s="17"/>
      <c r="D20" s="17" t="s">
        <v>373</v>
      </c>
      <c r="E20" s="357">
        <f>+'Working Capital Work Paper'!W342</f>
        <v>31260829.359166674</v>
      </c>
    </row>
    <row r="21" spans="1:7">
      <c r="B21" s="350">
        <v>4</v>
      </c>
      <c r="C21" s="17"/>
      <c r="D21" s="17" t="s">
        <v>374</v>
      </c>
      <c r="E21" s="358">
        <f>+E19+E20</f>
        <v>364902038.14583331</v>
      </c>
    </row>
    <row r="22" spans="1:7">
      <c r="B22" s="350"/>
      <c r="C22" s="17"/>
      <c r="D22" s="17"/>
      <c r="E22" s="356"/>
    </row>
    <row r="23" spans="1:7" ht="16.5" thickBot="1">
      <c r="B23" s="350">
        <v>5</v>
      </c>
      <c r="C23" s="17"/>
      <c r="D23" s="17" t="s">
        <v>375</v>
      </c>
      <c r="E23" s="359">
        <f>+E17-E21</f>
        <v>36727903.745833397</v>
      </c>
    </row>
    <row r="24" spans="1:7" ht="16.5" thickTop="1">
      <c r="B24" s="350"/>
      <c r="C24" s="17"/>
      <c r="D24" s="17"/>
      <c r="E24" s="354"/>
    </row>
    <row r="25" spans="1:7" ht="16.5" thickBot="1">
      <c r="B25" s="350">
        <v>6</v>
      </c>
      <c r="C25" s="17"/>
      <c r="D25" s="17" t="s">
        <v>376</v>
      </c>
      <c r="E25" s="360">
        <f>+E23/E21</f>
        <v>0.1006514075187354</v>
      </c>
    </row>
    <row r="26" spans="1:7" ht="16.5" thickTop="1">
      <c r="B26" s="351"/>
      <c r="C26" s="346"/>
      <c r="D26" s="346"/>
      <c r="E26" s="361"/>
    </row>
    <row r="27" spans="1:7">
      <c r="B27" s="362"/>
      <c r="C27" s="17"/>
      <c r="D27" s="16" t="s">
        <v>53</v>
      </c>
      <c r="E27" s="344"/>
    </row>
    <row r="28" spans="1:7">
      <c r="B28" s="362"/>
      <c r="C28" s="17"/>
      <c r="D28" s="343" t="s">
        <v>1650</v>
      </c>
      <c r="E28" s="344"/>
    </row>
    <row r="29" spans="1:7">
      <c r="B29" s="363"/>
      <c r="C29" s="346"/>
      <c r="D29" s="347" t="s">
        <v>377</v>
      </c>
      <c r="E29" s="348"/>
    </row>
    <row r="30" spans="1:7">
      <c r="A30" s="4" t="s">
        <v>50</v>
      </c>
      <c r="B30" s="364"/>
      <c r="C30" s="17"/>
      <c r="D30" s="17"/>
      <c r="E30" s="349"/>
    </row>
    <row r="31" spans="1:7">
      <c r="B31" s="350" t="s">
        <v>368</v>
      </c>
      <c r="C31" s="16"/>
      <c r="D31" s="16"/>
      <c r="E31" s="350"/>
    </row>
    <row r="32" spans="1:7">
      <c r="B32" s="351" t="s">
        <v>369</v>
      </c>
      <c r="C32" s="347"/>
      <c r="D32" s="347" t="s">
        <v>370</v>
      </c>
      <c r="E32" s="351" t="s">
        <v>378</v>
      </c>
    </row>
    <row r="33" spans="2:5">
      <c r="B33" s="352"/>
      <c r="C33" s="353"/>
      <c r="D33" s="353" t="s">
        <v>105</v>
      </c>
      <c r="E33" s="352" t="s">
        <v>106</v>
      </c>
    </row>
    <row r="34" spans="2:5">
      <c r="B34" s="350"/>
      <c r="C34" s="17"/>
      <c r="D34" s="17"/>
      <c r="E34" s="354"/>
    </row>
    <row r="35" spans="2:5">
      <c r="B35" s="350">
        <v>7</v>
      </c>
      <c r="C35" s="17"/>
      <c r="D35" s="17" t="s">
        <v>379</v>
      </c>
      <c r="E35" s="356">
        <f>+'Rate Base'!D13</f>
        <v>677314165.18981874</v>
      </c>
    </row>
    <row r="36" spans="2:5">
      <c r="B36" s="350">
        <v>8</v>
      </c>
      <c r="C36" s="17"/>
      <c r="D36" s="19" t="s">
        <v>380</v>
      </c>
      <c r="E36" s="356">
        <f>+'Rate Base'!D14</f>
        <v>-345424354.83661753</v>
      </c>
    </row>
    <row r="37" spans="2:5">
      <c r="B37" s="350">
        <v>9</v>
      </c>
      <c r="C37" s="17"/>
      <c r="D37" s="19" t="s">
        <v>363</v>
      </c>
      <c r="E37" s="356">
        <f>+'Rate Base'!D16</f>
        <v>-3771590.387083333</v>
      </c>
    </row>
    <row r="38" spans="2:5">
      <c r="B38" s="350">
        <v>10</v>
      </c>
      <c r="C38" s="17"/>
      <c r="D38" s="19" t="s">
        <v>381</v>
      </c>
      <c r="E38" s="365">
        <f>+'Rate Base'!D17</f>
        <v>-73667038.139583334</v>
      </c>
    </row>
    <row r="39" spans="2:5">
      <c r="B39" s="350"/>
      <c r="C39" s="17"/>
      <c r="D39" s="19"/>
      <c r="E39" s="356"/>
    </row>
    <row r="40" spans="2:5">
      <c r="B40" s="350">
        <v>11</v>
      </c>
      <c r="C40" s="17"/>
      <c r="D40" s="19" t="s">
        <v>382</v>
      </c>
      <c r="E40" s="356">
        <f>SUM(E35:E38)</f>
        <v>254451181.82653451</v>
      </c>
    </row>
    <row r="41" spans="2:5">
      <c r="B41" s="350"/>
      <c r="C41" s="17"/>
      <c r="D41" s="19"/>
      <c r="E41" s="356"/>
    </row>
    <row r="42" spans="2:5">
      <c r="B42" s="350">
        <v>12</v>
      </c>
      <c r="C42" s="17"/>
      <c r="D42" s="19" t="s">
        <v>1939</v>
      </c>
      <c r="E42" s="366">
        <f>+E25</f>
        <v>0.1006514075187354</v>
      </c>
    </row>
    <row r="43" spans="2:5">
      <c r="B43" s="350"/>
      <c r="C43" s="17"/>
      <c r="D43" s="19"/>
      <c r="E43" s="356"/>
    </row>
    <row r="44" spans="2:5" ht="16.5" thickBot="1">
      <c r="B44" s="350">
        <v>13</v>
      </c>
      <c r="C44" s="17"/>
      <c r="D44" s="19" t="s">
        <v>1940</v>
      </c>
      <c r="E44" s="367">
        <f>+E40*E42</f>
        <v>25610869.595646363</v>
      </c>
    </row>
    <row r="45" spans="2:5" ht="16.5" thickTop="1">
      <c r="B45" s="351"/>
      <c r="C45" s="346"/>
      <c r="D45" s="368"/>
      <c r="E45" s="365"/>
    </row>
    <row r="46" spans="2:5">
      <c r="B46" s="6"/>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Name:&amp;A&amp;R&amp;"Times New Roman,Regular"&amp;9 26678.897\4829-5163-7600.v1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U71"/>
  <sheetViews>
    <sheetView view="pageBreakPreview" zoomScaleNormal="75" zoomScaleSheetLayoutView="100" workbookViewId="0">
      <selection activeCell="A3" sqref="A3:P3"/>
    </sheetView>
  </sheetViews>
  <sheetFormatPr defaultColWidth="17.85546875" defaultRowHeight="12.75"/>
  <cols>
    <col min="1" max="1" width="7.85546875" style="817" bestFit="1" customWidth="1"/>
    <col min="2" max="2" width="17.7109375" style="720" customWidth="1"/>
    <col min="3" max="3" width="11.28515625" style="720" bestFit="1" customWidth="1"/>
    <col min="4" max="4" width="8.7109375" style="720" customWidth="1"/>
    <col min="5" max="5" width="10.42578125" style="720" customWidth="1"/>
    <col min="6" max="6" width="22.42578125" style="720" customWidth="1"/>
    <col min="7" max="7" width="15.140625" style="720" customWidth="1"/>
    <col min="8" max="9" width="15.42578125" style="720" bestFit="1" customWidth="1"/>
    <col min="10" max="10" width="8.28515625" style="720" bestFit="1" customWidth="1"/>
    <col min="11" max="11" width="15.5703125" style="720" bestFit="1" customWidth="1"/>
    <col min="12" max="13" width="11.7109375" style="720" bestFit="1" customWidth="1"/>
    <col min="14" max="14" width="12.28515625" style="720" bestFit="1" customWidth="1"/>
    <col min="15" max="15" width="10.85546875" style="720" bestFit="1" customWidth="1"/>
    <col min="16" max="16" width="12" style="720" bestFit="1" customWidth="1"/>
    <col min="17" max="17" width="10.42578125" style="720" bestFit="1" customWidth="1"/>
    <col min="18" max="18" width="13.42578125" style="720" customWidth="1"/>
    <col min="19" max="19" width="15.140625" style="720" customWidth="1"/>
    <col min="20" max="20" width="26.5703125" style="720" customWidth="1"/>
    <col min="21" max="16384" width="17.85546875" style="720"/>
  </cols>
  <sheetData>
    <row r="1" spans="1:20" ht="15.75">
      <c r="H1" s="1244" t="s">
        <v>53</v>
      </c>
      <c r="I1" s="1244"/>
      <c r="J1" s="1244"/>
      <c r="K1" s="1244"/>
      <c r="L1" s="1244"/>
      <c r="M1" s="1244"/>
      <c r="N1" s="1244"/>
      <c r="O1" s="1244"/>
      <c r="P1" s="1244"/>
    </row>
    <row r="2" spans="1:20" ht="15.75">
      <c r="H2" s="1244" t="s">
        <v>1659</v>
      </c>
      <c r="I2" s="1244"/>
      <c r="J2" s="1244"/>
      <c r="K2" s="1244"/>
      <c r="L2" s="1244"/>
      <c r="M2" s="1244"/>
      <c r="N2" s="1244"/>
      <c r="O2" s="1244"/>
      <c r="P2" s="1244"/>
    </row>
    <row r="3" spans="1:20" ht="15.75">
      <c r="B3" s="799"/>
      <c r="H3" s="1244" t="s">
        <v>1666</v>
      </c>
      <c r="I3" s="1244"/>
      <c r="J3" s="1244"/>
      <c r="K3" s="1244"/>
      <c r="L3" s="1244"/>
      <c r="M3" s="1244"/>
      <c r="N3" s="1244"/>
      <c r="O3" s="1244"/>
      <c r="P3" s="1244"/>
    </row>
    <row r="4" spans="1:20" ht="15.75">
      <c r="H4" s="1244" t="s">
        <v>2112</v>
      </c>
      <c r="I4" s="1244"/>
      <c r="J4" s="1244"/>
      <c r="K4" s="1244"/>
      <c r="L4" s="1244"/>
      <c r="M4" s="1244"/>
      <c r="N4" s="1244"/>
      <c r="O4" s="1244"/>
      <c r="P4" s="1244"/>
    </row>
    <row r="5" spans="1:20" ht="15.75">
      <c r="B5" s="798"/>
      <c r="H5" s="1244" t="s">
        <v>971</v>
      </c>
      <c r="I5" s="1244"/>
      <c r="J5" s="1244"/>
      <c r="K5" s="1244"/>
      <c r="L5" s="1244"/>
      <c r="M5" s="1244"/>
      <c r="N5" s="1244"/>
      <c r="O5" s="1244"/>
      <c r="P5" s="1244"/>
    </row>
    <row r="6" spans="1:20" s="817" customFormat="1" ht="15.75">
      <c r="B6" s="818" t="s">
        <v>1689</v>
      </c>
      <c r="C6" s="817" t="s">
        <v>1687</v>
      </c>
      <c r="D6" s="817" t="s">
        <v>1688</v>
      </c>
      <c r="E6" s="817" t="s">
        <v>1691</v>
      </c>
      <c r="F6" s="817" t="s">
        <v>1692</v>
      </c>
      <c r="G6" s="817" t="s">
        <v>1701</v>
      </c>
      <c r="H6" s="819" t="s">
        <v>1702</v>
      </c>
      <c r="I6" s="819" t="s">
        <v>1703</v>
      </c>
      <c r="J6" s="819" t="s">
        <v>1704</v>
      </c>
      <c r="K6" s="819" t="s">
        <v>1705</v>
      </c>
      <c r="L6" s="819" t="s">
        <v>1706</v>
      </c>
      <c r="M6" s="819" t="s">
        <v>1707</v>
      </c>
      <c r="N6" s="819" t="s">
        <v>1708</v>
      </c>
      <c r="O6" s="819" t="s">
        <v>1709</v>
      </c>
      <c r="P6" s="819" t="s">
        <v>1710</v>
      </c>
      <c r="Q6" s="817" t="s">
        <v>1984</v>
      </c>
      <c r="R6" s="817" t="s">
        <v>1985</v>
      </c>
      <c r="S6" s="817" t="s">
        <v>1986</v>
      </c>
      <c r="T6" s="817" t="s">
        <v>1987</v>
      </c>
    </row>
    <row r="7" spans="1:20" ht="15.75" thickBot="1">
      <c r="B7" s="798" t="s">
        <v>2078</v>
      </c>
    </row>
    <row r="8" spans="1:20">
      <c r="A8" s="817" t="s">
        <v>879</v>
      </c>
      <c r="B8" s="797"/>
      <c r="C8" s="796"/>
      <c r="D8" s="796"/>
      <c r="E8" s="795"/>
      <c r="F8" s="791"/>
      <c r="G8" s="791"/>
      <c r="H8" s="794"/>
      <c r="I8" s="794"/>
      <c r="J8" s="793"/>
      <c r="K8" s="792"/>
      <c r="L8" s="791"/>
      <c r="M8" s="791"/>
      <c r="N8" s="790"/>
      <c r="O8" s="792"/>
      <c r="P8" s="791"/>
      <c r="Q8" s="790"/>
      <c r="R8" s="792"/>
      <c r="S8" s="791"/>
      <c r="T8" s="790"/>
    </row>
    <row r="9" spans="1:20">
      <c r="A9" s="817">
        <v>1</v>
      </c>
      <c r="B9" s="789" t="s">
        <v>53</v>
      </c>
      <c r="C9" s="785"/>
      <c r="D9" s="785"/>
      <c r="E9" s="784"/>
      <c r="F9" s="788" t="s">
        <v>53</v>
      </c>
      <c r="G9" s="779"/>
      <c r="H9" s="782"/>
      <c r="I9" s="782"/>
      <c r="J9" s="781"/>
      <c r="K9" s="787" t="s">
        <v>53</v>
      </c>
      <c r="L9" s="779"/>
      <c r="M9" s="779"/>
      <c r="N9" s="778"/>
      <c r="O9" s="787" t="s">
        <v>53</v>
      </c>
      <c r="P9" s="779"/>
      <c r="Q9" s="778"/>
      <c r="R9" s="787" t="s">
        <v>53</v>
      </c>
      <c r="S9" s="779"/>
      <c r="T9" s="778"/>
    </row>
    <row r="10" spans="1:20" ht="14.25">
      <c r="A10" s="817">
        <v>2</v>
      </c>
      <c r="B10" s="789" t="s">
        <v>2077</v>
      </c>
      <c r="C10" s="785"/>
      <c r="D10" s="785"/>
      <c r="E10" s="784"/>
      <c r="F10" s="788" t="s">
        <v>2076</v>
      </c>
      <c r="G10" s="779"/>
      <c r="H10" s="782"/>
      <c r="I10" s="782"/>
      <c r="J10" s="781"/>
      <c r="K10" s="787" t="s">
        <v>2075</v>
      </c>
      <c r="L10" s="779"/>
      <c r="M10" s="779"/>
      <c r="N10" s="778"/>
      <c r="O10" s="787" t="s">
        <v>2074</v>
      </c>
      <c r="P10" s="779"/>
      <c r="Q10" s="778"/>
      <c r="R10" s="787" t="s">
        <v>111</v>
      </c>
      <c r="S10" s="779"/>
      <c r="T10" s="778"/>
    </row>
    <row r="11" spans="1:20">
      <c r="A11" s="817">
        <v>3</v>
      </c>
      <c r="B11" s="786">
        <v>2015</v>
      </c>
      <c r="C11" s="785"/>
      <c r="D11" s="785"/>
      <c r="E11" s="784"/>
      <c r="F11" s="783">
        <f>+B11</f>
        <v>2015</v>
      </c>
      <c r="G11" s="779"/>
      <c r="H11" s="782"/>
      <c r="I11" s="782"/>
      <c r="J11" s="781"/>
      <c r="K11" s="780">
        <f>+B11</f>
        <v>2015</v>
      </c>
      <c r="L11" s="779"/>
      <c r="M11" s="779"/>
      <c r="N11" s="778"/>
      <c r="O11" s="780">
        <f>B11</f>
        <v>2015</v>
      </c>
      <c r="P11" s="779"/>
      <c r="Q11" s="778"/>
      <c r="R11" s="780">
        <f>B11</f>
        <v>2015</v>
      </c>
      <c r="S11" s="779"/>
      <c r="T11" s="778"/>
    </row>
    <row r="12" spans="1:20">
      <c r="B12" s="739"/>
      <c r="C12" s="738"/>
      <c r="D12" s="738"/>
      <c r="E12" s="737"/>
      <c r="F12" s="734"/>
      <c r="G12" s="734"/>
      <c r="H12" s="749"/>
      <c r="I12" s="749"/>
      <c r="J12" s="748"/>
      <c r="K12" s="735"/>
      <c r="L12" s="734"/>
      <c r="M12" s="734"/>
      <c r="N12" s="733"/>
      <c r="O12" s="735"/>
      <c r="P12" s="734"/>
      <c r="Q12" s="733"/>
      <c r="R12" s="735"/>
      <c r="S12" s="734"/>
      <c r="T12" s="733"/>
    </row>
    <row r="13" spans="1:20">
      <c r="A13" s="817">
        <v>4</v>
      </c>
      <c r="B13" s="739"/>
      <c r="C13" s="738"/>
      <c r="D13" s="738"/>
      <c r="E13" s="737"/>
      <c r="F13" s="736" t="s">
        <v>2073</v>
      </c>
      <c r="G13" s="734"/>
      <c r="H13" s="774" t="s">
        <v>378</v>
      </c>
      <c r="I13" s="774" t="s">
        <v>1004</v>
      </c>
      <c r="J13" s="748"/>
      <c r="K13" s="735"/>
      <c r="L13" s="734"/>
      <c r="M13" s="734"/>
      <c r="N13" s="733"/>
      <c r="O13" s="735"/>
      <c r="P13" s="734"/>
      <c r="Q13" s="733"/>
      <c r="R13" s="735"/>
      <c r="S13" s="734"/>
      <c r="T13" s="733"/>
    </row>
    <row r="14" spans="1:20">
      <c r="A14" s="817">
        <v>5</v>
      </c>
      <c r="B14" s="739"/>
      <c r="C14" s="777" t="s">
        <v>378</v>
      </c>
      <c r="D14" s="777" t="s">
        <v>1004</v>
      </c>
      <c r="E14" s="776" t="s">
        <v>52</v>
      </c>
      <c r="F14" s="734"/>
      <c r="G14" s="775"/>
      <c r="H14" s="774" t="s">
        <v>1175</v>
      </c>
      <c r="I14" s="774" t="s">
        <v>1175</v>
      </c>
      <c r="J14" s="748"/>
      <c r="K14" s="735"/>
      <c r="L14" s="734"/>
      <c r="M14" s="734"/>
      <c r="N14" s="733"/>
      <c r="O14" s="735"/>
      <c r="P14" s="769" t="s">
        <v>2072</v>
      </c>
      <c r="Q14" s="771"/>
      <c r="R14" s="756" t="s">
        <v>2071</v>
      </c>
      <c r="S14" s="734"/>
      <c r="T14" s="733"/>
    </row>
    <row r="15" spans="1:20">
      <c r="A15" s="817">
        <v>6</v>
      </c>
      <c r="B15" s="739"/>
      <c r="C15" s="747"/>
      <c r="D15" s="747"/>
      <c r="E15" s="746"/>
      <c r="F15" s="734"/>
      <c r="G15" s="767" t="s">
        <v>2070</v>
      </c>
      <c r="H15" s="773" t="s">
        <v>2069</v>
      </c>
      <c r="I15" s="773" t="s">
        <v>2069</v>
      </c>
      <c r="J15" s="748"/>
      <c r="K15" s="735"/>
      <c r="L15" s="769" t="s">
        <v>378</v>
      </c>
      <c r="M15" s="769" t="s">
        <v>1004</v>
      </c>
      <c r="N15" s="771"/>
      <c r="O15" s="735"/>
      <c r="P15" s="767" t="s">
        <v>2068</v>
      </c>
      <c r="Q15" s="766" t="s">
        <v>2061</v>
      </c>
      <c r="R15" s="735"/>
      <c r="S15" s="734"/>
      <c r="T15" s="733"/>
    </row>
    <row r="16" spans="1:20">
      <c r="A16" s="817">
        <v>7</v>
      </c>
      <c r="B16" s="753" t="s">
        <v>2067</v>
      </c>
      <c r="C16" s="751">
        <f>Q17</f>
        <v>0.74880000000000002</v>
      </c>
      <c r="D16" s="751">
        <f>E16-C16</f>
        <v>0.25119999999999998</v>
      </c>
      <c r="E16" s="750">
        <v>1</v>
      </c>
      <c r="F16" s="734"/>
      <c r="G16" s="741"/>
      <c r="H16" s="755"/>
      <c r="I16" s="755"/>
      <c r="J16" s="748"/>
      <c r="K16" s="735"/>
      <c r="L16" s="767" t="s">
        <v>2066</v>
      </c>
      <c r="M16" s="767" t="s">
        <v>2066</v>
      </c>
      <c r="N16" s="766" t="s">
        <v>52</v>
      </c>
      <c r="O16" s="735"/>
      <c r="P16" s="741"/>
      <c r="Q16" s="740"/>
      <c r="R16" s="735"/>
      <c r="S16" s="734"/>
      <c r="T16" s="733"/>
    </row>
    <row r="17" spans="1:21">
      <c r="A17" s="817">
        <v>8</v>
      </c>
      <c r="B17" s="753" t="s">
        <v>2065</v>
      </c>
      <c r="C17" s="751">
        <f>H39</f>
        <v>0.73719999999999997</v>
      </c>
      <c r="D17" s="751">
        <f>E17-C17</f>
        <v>0.26280000000000003</v>
      </c>
      <c r="E17" s="750">
        <v>1</v>
      </c>
      <c r="F17" s="734"/>
      <c r="G17" s="758">
        <v>42004</v>
      </c>
      <c r="H17" s="762">
        <v>169</v>
      </c>
      <c r="I17" s="762">
        <v>55</v>
      </c>
      <c r="J17" s="748"/>
      <c r="K17" s="735"/>
      <c r="L17" s="741"/>
      <c r="M17" s="741"/>
      <c r="N17" s="740"/>
      <c r="O17" s="756" t="s">
        <v>378</v>
      </c>
      <c r="P17" s="762">
        <f>+P62</f>
        <v>204867.66666666666</v>
      </c>
      <c r="Q17" s="764">
        <f>ROUND(P17/P21,4)</f>
        <v>0.74880000000000002</v>
      </c>
      <c r="R17" s="735"/>
      <c r="S17" s="772">
        <f>R11</f>
        <v>2015</v>
      </c>
      <c r="T17" s="771"/>
    </row>
    <row r="18" spans="1:21">
      <c r="A18" s="817">
        <v>9</v>
      </c>
      <c r="B18" s="753" t="s">
        <v>2064</v>
      </c>
      <c r="C18" s="760">
        <f>L25</f>
        <v>0.77239999999999998</v>
      </c>
      <c r="D18" s="760">
        <f>E18-C18</f>
        <v>0.22760000000000002</v>
      </c>
      <c r="E18" s="759">
        <v>1</v>
      </c>
      <c r="F18" s="734"/>
      <c r="G18" s="758">
        <f>G17+30</f>
        <v>42034</v>
      </c>
      <c r="H18" s="762">
        <v>169</v>
      </c>
      <c r="I18" s="762">
        <v>60</v>
      </c>
      <c r="J18" s="748"/>
      <c r="K18" s="756" t="s">
        <v>2063</v>
      </c>
      <c r="L18" s="721">
        <v>632616854</v>
      </c>
      <c r="M18" s="721">
        <v>186360173</v>
      </c>
      <c r="N18" s="770">
        <f>SUM(L18:M18)</f>
        <v>818977027</v>
      </c>
      <c r="O18" s="756" t="s">
        <v>1004</v>
      </c>
      <c r="P18" s="757">
        <f>+Q62</f>
        <v>68732.416666666672</v>
      </c>
      <c r="Q18" s="742">
        <f>Q21-Q17</f>
        <v>0.25119999999999998</v>
      </c>
      <c r="R18" s="735"/>
      <c r="S18" s="769" t="s">
        <v>2040</v>
      </c>
      <c r="T18" s="768" t="s">
        <v>961</v>
      </c>
    </row>
    <row r="19" spans="1:21">
      <c r="A19" s="817">
        <v>10</v>
      </c>
      <c r="B19" s="739"/>
      <c r="C19" s="747"/>
      <c r="D19" s="747"/>
      <c r="E19" s="746"/>
      <c r="F19" s="734"/>
      <c r="G19" s="758">
        <f>G18+28</f>
        <v>42062</v>
      </c>
      <c r="H19" s="762">
        <v>168</v>
      </c>
      <c r="I19" s="762">
        <v>60</v>
      </c>
      <c r="J19" s="748"/>
      <c r="K19" s="735"/>
      <c r="L19" s="749"/>
      <c r="M19" s="749"/>
      <c r="N19" s="748"/>
      <c r="O19" s="735"/>
      <c r="P19" s="755"/>
      <c r="Q19" s="740"/>
      <c r="R19" s="735"/>
      <c r="S19" s="767" t="s">
        <v>35</v>
      </c>
      <c r="T19" s="766" t="s">
        <v>2062</v>
      </c>
    </row>
    <row r="20" spans="1:21">
      <c r="A20" s="817">
        <v>11</v>
      </c>
      <c r="B20" s="739"/>
      <c r="C20" s="738"/>
      <c r="D20" s="738"/>
      <c r="E20" s="737"/>
      <c r="F20" s="734"/>
      <c r="G20" s="758">
        <f t="shared" ref="G20:G29" si="0">G19+30</f>
        <v>42092</v>
      </c>
      <c r="H20" s="762">
        <v>170</v>
      </c>
      <c r="I20" s="762">
        <v>57</v>
      </c>
      <c r="J20" s="748"/>
      <c r="K20" s="735"/>
      <c r="L20" s="755"/>
      <c r="M20" s="755"/>
      <c r="N20" s="765"/>
      <c r="O20" s="735"/>
      <c r="P20" s="749"/>
      <c r="Q20" s="733"/>
      <c r="R20" s="735"/>
      <c r="S20" s="755"/>
      <c r="T20" s="768"/>
    </row>
    <row r="21" spans="1:21">
      <c r="A21" s="817">
        <v>12</v>
      </c>
      <c r="B21" s="802" t="s">
        <v>109</v>
      </c>
      <c r="C21" s="803">
        <f>AVERAGE(C16:C18)</f>
        <v>0.75280000000000002</v>
      </c>
      <c r="D21" s="803">
        <f>AVERAGE(D16:D18)</f>
        <v>0.2472</v>
      </c>
      <c r="E21" s="804">
        <f>AVERAGE(E16:E18)</f>
        <v>1</v>
      </c>
      <c r="F21" s="734"/>
      <c r="G21" s="758">
        <f t="shared" si="0"/>
        <v>42122</v>
      </c>
      <c r="H21" s="762">
        <v>173</v>
      </c>
      <c r="I21" s="762">
        <v>61</v>
      </c>
      <c r="J21" s="748"/>
      <c r="K21" s="735"/>
      <c r="L21" s="749"/>
      <c r="M21" s="749"/>
      <c r="N21" s="748"/>
      <c r="O21" s="756" t="s">
        <v>52</v>
      </c>
      <c r="P21" s="745">
        <f>SUM(P16:P19)</f>
        <v>273600.08333333331</v>
      </c>
      <c r="Q21" s="742">
        <v>1</v>
      </c>
      <c r="R21" s="756" t="s">
        <v>378</v>
      </c>
      <c r="S21" s="762">
        <v>239600696</v>
      </c>
      <c r="T21" s="768">
        <f>ROUND(S21/S25,4)</f>
        <v>0.76549999999999996</v>
      </c>
      <c r="U21" s="763"/>
    </row>
    <row r="22" spans="1:21">
      <c r="A22" s="817">
        <v>13</v>
      </c>
      <c r="B22" s="739"/>
      <c r="C22" s="747"/>
      <c r="D22" s="747"/>
      <c r="E22" s="746"/>
      <c r="F22" s="734"/>
      <c r="G22" s="758">
        <f t="shared" si="0"/>
        <v>42152</v>
      </c>
      <c r="H22" s="762">
        <v>168</v>
      </c>
      <c r="I22" s="762">
        <v>61</v>
      </c>
      <c r="J22" s="748"/>
      <c r="K22" s="735"/>
      <c r="L22" s="741"/>
      <c r="M22" s="741"/>
      <c r="N22" s="740"/>
      <c r="O22" s="735"/>
      <c r="P22" s="755"/>
      <c r="Q22" s="740"/>
      <c r="R22" s="756" t="s">
        <v>1004</v>
      </c>
      <c r="S22" s="762">
        <v>73387620</v>
      </c>
      <c r="T22" s="766">
        <f>T25-T21</f>
        <v>0.23450000000000004</v>
      </c>
      <c r="U22" s="763"/>
    </row>
    <row r="23" spans="1:21">
      <c r="A23" s="817">
        <v>14</v>
      </c>
      <c r="B23" s="739"/>
      <c r="C23" s="806"/>
      <c r="D23" s="738"/>
      <c r="E23" s="737"/>
      <c r="F23" s="734"/>
      <c r="G23" s="758">
        <f t="shared" si="0"/>
        <v>42182</v>
      </c>
      <c r="H23" s="762">
        <v>168</v>
      </c>
      <c r="I23" s="762">
        <v>61</v>
      </c>
      <c r="J23" s="748"/>
      <c r="K23" s="735"/>
      <c r="L23" s="734"/>
      <c r="M23" s="734"/>
      <c r="N23" s="733"/>
      <c r="O23" s="735"/>
      <c r="P23" s="734"/>
      <c r="Q23" s="733"/>
      <c r="R23" s="735"/>
      <c r="S23" s="755"/>
      <c r="T23" s="768"/>
    </row>
    <row r="24" spans="1:21">
      <c r="A24" s="817">
        <v>15</v>
      </c>
      <c r="B24" s="739"/>
      <c r="C24" s="738"/>
      <c r="D24" s="738"/>
      <c r="E24" s="737"/>
      <c r="F24" s="734"/>
      <c r="G24" s="758">
        <f t="shared" si="0"/>
        <v>42212</v>
      </c>
      <c r="H24" s="762">
        <v>181</v>
      </c>
      <c r="I24" s="762">
        <v>64</v>
      </c>
      <c r="J24" s="748"/>
      <c r="K24" s="735"/>
      <c r="L24" s="734"/>
      <c r="M24" s="734"/>
      <c r="N24" s="733"/>
      <c r="O24" s="735"/>
      <c r="P24" s="734"/>
      <c r="Q24" s="733"/>
      <c r="R24" s="735"/>
      <c r="S24" s="749"/>
      <c r="T24" s="771"/>
    </row>
    <row r="25" spans="1:21">
      <c r="A25" s="817">
        <v>16</v>
      </c>
      <c r="B25" s="739"/>
      <c r="C25" s="738"/>
      <c r="D25" s="738"/>
      <c r="E25" s="737"/>
      <c r="F25" s="734"/>
      <c r="G25" s="758">
        <f t="shared" si="0"/>
        <v>42242</v>
      </c>
      <c r="H25" s="762">
        <v>181</v>
      </c>
      <c r="I25" s="762">
        <v>65</v>
      </c>
      <c r="J25" s="748"/>
      <c r="K25" s="756" t="s">
        <v>2061</v>
      </c>
      <c r="L25" s="743">
        <f>ROUND(L18/N18,4)</f>
        <v>0.77239999999999998</v>
      </c>
      <c r="M25" s="743">
        <f>N25-L25</f>
        <v>0.22760000000000002</v>
      </c>
      <c r="N25" s="742">
        <v>1</v>
      </c>
      <c r="O25" s="735"/>
      <c r="P25" s="734"/>
      <c r="Q25" s="733"/>
      <c r="R25" s="735"/>
      <c r="S25" s="745">
        <f>SUM(S20:S23)</f>
        <v>312988316</v>
      </c>
      <c r="T25" s="766">
        <v>1</v>
      </c>
    </row>
    <row r="26" spans="1:21">
      <c r="A26" s="817">
        <v>17</v>
      </c>
      <c r="B26" s="739"/>
      <c r="C26" s="738"/>
      <c r="D26" s="738"/>
      <c r="E26" s="737"/>
      <c r="F26" s="734"/>
      <c r="G26" s="758">
        <f t="shared" si="0"/>
        <v>42272</v>
      </c>
      <c r="H26" s="762">
        <v>181</v>
      </c>
      <c r="I26" s="762">
        <v>65</v>
      </c>
      <c r="J26" s="748"/>
      <c r="K26" s="735"/>
      <c r="L26" s="741"/>
      <c r="M26" s="741"/>
      <c r="N26" s="740"/>
      <c r="O26" s="735"/>
      <c r="P26" s="734"/>
      <c r="Q26" s="733"/>
      <c r="R26" s="735"/>
      <c r="S26" s="755"/>
      <c r="T26" s="740"/>
    </row>
    <row r="27" spans="1:21">
      <c r="A27" s="817">
        <v>18</v>
      </c>
      <c r="B27" s="739"/>
      <c r="C27" s="738"/>
      <c r="D27" s="738"/>
      <c r="E27" s="737"/>
      <c r="F27" s="734"/>
      <c r="G27" s="758">
        <f t="shared" si="0"/>
        <v>42302</v>
      </c>
      <c r="H27" s="762">
        <v>178</v>
      </c>
      <c r="I27" s="762">
        <v>67</v>
      </c>
      <c r="J27" s="748"/>
      <c r="K27" s="735"/>
      <c r="L27" s="734"/>
      <c r="M27" s="734"/>
      <c r="N27" s="733"/>
      <c r="O27" s="735"/>
      <c r="P27" s="734"/>
      <c r="Q27" s="733"/>
      <c r="R27" s="735"/>
      <c r="S27" s="749"/>
      <c r="T27" s="733"/>
    </row>
    <row r="28" spans="1:21">
      <c r="A28" s="817">
        <v>19</v>
      </c>
      <c r="B28" s="739"/>
      <c r="C28" s="738"/>
      <c r="D28" s="738"/>
      <c r="E28" s="737"/>
      <c r="F28" s="734"/>
      <c r="G28" s="758">
        <f t="shared" si="0"/>
        <v>42332</v>
      </c>
      <c r="H28" s="762">
        <v>176</v>
      </c>
      <c r="I28" s="762">
        <v>63</v>
      </c>
      <c r="J28" s="748"/>
      <c r="K28" s="735"/>
      <c r="L28" s="761"/>
      <c r="M28" s="761"/>
      <c r="N28" s="733"/>
      <c r="O28" s="735"/>
      <c r="P28" s="734"/>
      <c r="Q28" s="733"/>
      <c r="R28" s="735"/>
      <c r="S28" s="734"/>
      <c r="T28" s="733"/>
    </row>
    <row r="29" spans="1:21">
      <c r="A29" s="817">
        <v>20</v>
      </c>
      <c r="B29" s="753" t="s">
        <v>111</v>
      </c>
      <c r="C29" s="760">
        <f>T21</f>
        <v>0.76549999999999996</v>
      </c>
      <c r="D29" s="760">
        <f>E29-C29</f>
        <v>0.23450000000000004</v>
      </c>
      <c r="E29" s="759">
        <v>1</v>
      </c>
      <c r="F29" s="734"/>
      <c r="G29" s="758">
        <f t="shared" si="0"/>
        <v>42362</v>
      </c>
      <c r="H29" s="757">
        <v>171</v>
      </c>
      <c r="I29" s="757">
        <v>62</v>
      </c>
      <c r="J29" s="748"/>
      <c r="K29" s="756"/>
      <c r="L29" s="734"/>
      <c r="M29" s="734"/>
      <c r="N29" s="733"/>
      <c r="O29" s="735"/>
      <c r="P29" s="734"/>
      <c r="Q29" s="733"/>
      <c r="R29" s="735"/>
      <c r="S29" s="734"/>
      <c r="T29" s="733"/>
    </row>
    <row r="30" spans="1:21">
      <c r="A30" s="817">
        <v>21</v>
      </c>
      <c r="B30" s="739"/>
      <c r="C30" s="747"/>
      <c r="D30" s="747"/>
      <c r="E30" s="746"/>
      <c r="F30" s="734"/>
      <c r="G30" s="734"/>
      <c r="H30" s="755"/>
      <c r="I30" s="755" t="s">
        <v>50</v>
      </c>
      <c r="J30" s="748"/>
      <c r="K30" s="735"/>
      <c r="L30" s="734"/>
      <c r="M30" s="734"/>
      <c r="N30" s="733"/>
      <c r="O30" s="735"/>
      <c r="P30" s="734"/>
      <c r="Q30" s="733"/>
      <c r="R30" s="735"/>
      <c r="S30" s="734"/>
      <c r="T30" s="733"/>
    </row>
    <row r="31" spans="1:21">
      <c r="A31" s="817">
        <v>22</v>
      </c>
      <c r="B31" s="739"/>
      <c r="C31" s="738"/>
      <c r="D31" s="738"/>
      <c r="E31" s="737"/>
      <c r="F31" s="734"/>
      <c r="G31" s="734"/>
      <c r="H31" s="749"/>
      <c r="I31" s="749"/>
      <c r="J31" s="748"/>
      <c r="K31" s="735"/>
      <c r="L31" s="734"/>
      <c r="M31" s="734"/>
      <c r="N31" s="733"/>
      <c r="O31" s="735"/>
      <c r="P31" s="734"/>
      <c r="Q31" s="733"/>
      <c r="R31" s="735"/>
      <c r="S31" s="734"/>
      <c r="T31" s="733"/>
    </row>
    <row r="32" spans="1:21">
      <c r="A32" s="817">
        <v>23</v>
      </c>
      <c r="B32" s="739"/>
      <c r="C32" s="738"/>
      <c r="D32" s="738"/>
      <c r="E32" s="737"/>
      <c r="F32" s="734"/>
      <c r="G32" s="734"/>
      <c r="H32" s="754">
        <f>SUM(H16:H30)</f>
        <v>2253</v>
      </c>
      <c r="I32" s="754">
        <f>SUM(I16:I30)</f>
        <v>801</v>
      </c>
      <c r="J32" s="748"/>
      <c r="K32" s="735"/>
      <c r="L32" s="734"/>
      <c r="M32" s="734"/>
      <c r="N32" s="733"/>
      <c r="O32" s="735"/>
      <c r="P32" s="734"/>
      <c r="Q32" s="733"/>
      <c r="R32" s="735"/>
      <c r="S32" s="734"/>
      <c r="T32" s="733"/>
    </row>
    <row r="33" spans="1:20">
      <c r="A33" s="817">
        <v>24</v>
      </c>
      <c r="B33" s="739"/>
      <c r="C33" s="738"/>
      <c r="D33" s="738"/>
      <c r="E33" s="737"/>
      <c r="F33" s="734"/>
      <c r="G33" s="734"/>
      <c r="H33" s="749" t="s">
        <v>50</v>
      </c>
      <c r="I33" s="749" t="s">
        <v>50</v>
      </c>
      <c r="J33" s="748"/>
      <c r="K33" s="735"/>
      <c r="L33" s="734"/>
      <c r="M33" s="734"/>
      <c r="N33" s="733"/>
      <c r="O33" s="735"/>
      <c r="P33" s="734"/>
      <c r="Q33" s="733"/>
      <c r="R33" s="735"/>
      <c r="S33" s="734"/>
      <c r="T33" s="733"/>
    </row>
    <row r="34" spans="1:20">
      <c r="A34" s="817">
        <v>25</v>
      </c>
      <c r="B34" s="753"/>
      <c r="C34" s="752"/>
      <c r="D34" s="751"/>
      <c r="E34" s="750"/>
      <c r="F34" s="734"/>
      <c r="G34" s="734"/>
      <c r="H34" s="749"/>
      <c r="I34" s="749" t="s">
        <v>50</v>
      </c>
      <c r="J34" s="748"/>
      <c r="K34" s="735"/>
      <c r="L34" s="721"/>
      <c r="M34" s="734"/>
      <c r="N34" s="733"/>
      <c r="O34" s="735"/>
      <c r="P34" s="734"/>
      <c r="Q34" s="733"/>
      <c r="R34" s="735"/>
      <c r="S34" s="734"/>
      <c r="T34" s="733"/>
    </row>
    <row r="35" spans="1:20">
      <c r="A35" s="817">
        <v>26</v>
      </c>
      <c r="B35" s="739"/>
      <c r="C35" s="747"/>
      <c r="D35" s="747"/>
      <c r="E35" s="746"/>
      <c r="F35" s="736" t="s">
        <v>2060</v>
      </c>
      <c r="G35" s="734"/>
      <c r="H35" s="745">
        <f>ROUND((SUM(H18:H28)*2+H17+H29)/24,2)</f>
        <v>173.58</v>
      </c>
      <c r="I35" s="745">
        <f>ROUND((SUM(I18:I28)*2+I17+I29)/24,2)</f>
        <v>61.88</v>
      </c>
      <c r="J35" s="744">
        <f>H35+I35</f>
        <v>235.46</v>
      </c>
      <c r="K35" s="735"/>
      <c r="L35" s="734"/>
      <c r="M35" s="734"/>
      <c r="N35" s="733"/>
      <c r="O35" s="735"/>
      <c r="P35" s="734"/>
      <c r="Q35" s="733"/>
      <c r="R35" s="735"/>
      <c r="S35" s="734"/>
      <c r="T35" s="733"/>
    </row>
    <row r="36" spans="1:20">
      <c r="A36" s="817">
        <v>27</v>
      </c>
      <c r="B36" s="739"/>
      <c r="C36" s="738"/>
      <c r="D36" s="738"/>
      <c r="E36" s="737"/>
      <c r="F36" s="734"/>
      <c r="G36" s="734"/>
      <c r="H36" s="741"/>
      <c r="I36" s="741" t="s">
        <v>50</v>
      </c>
      <c r="J36" s="740"/>
      <c r="K36" s="735"/>
      <c r="L36" s="734"/>
      <c r="M36" s="734"/>
      <c r="N36" s="733"/>
      <c r="O36" s="735"/>
      <c r="P36" s="734"/>
      <c r="Q36" s="733"/>
      <c r="R36" s="735"/>
      <c r="S36" s="734"/>
      <c r="T36" s="733"/>
    </row>
    <row r="37" spans="1:20">
      <c r="A37" s="817">
        <v>28</v>
      </c>
      <c r="B37" s="739"/>
      <c r="C37" s="738"/>
      <c r="D37" s="738"/>
      <c r="E37" s="737"/>
      <c r="F37" s="734"/>
      <c r="G37" s="734"/>
      <c r="H37" s="734"/>
      <c r="I37" s="734"/>
      <c r="J37" s="733"/>
      <c r="K37" s="735"/>
      <c r="L37" s="734"/>
      <c r="M37" s="734"/>
      <c r="N37" s="733"/>
      <c r="O37" s="735"/>
      <c r="P37" s="734"/>
      <c r="Q37" s="733"/>
      <c r="R37" s="735"/>
      <c r="S37" s="734"/>
      <c r="T37" s="733"/>
    </row>
    <row r="38" spans="1:20">
      <c r="A38" s="817">
        <v>29</v>
      </c>
      <c r="B38" s="739"/>
      <c r="C38" s="738"/>
      <c r="D38" s="738"/>
      <c r="E38" s="737"/>
      <c r="F38" s="734"/>
      <c r="G38" s="734"/>
      <c r="H38" s="734"/>
      <c r="I38" s="734"/>
      <c r="J38" s="733"/>
      <c r="K38" s="735"/>
      <c r="L38" s="734"/>
      <c r="M38" s="734"/>
      <c r="N38" s="733"/>
      <c r="O38" s="735"/>
      <c r="P38" s="734"/>
      <c r="Q38" s="733"/>
      <c r="R38" s="735"/>
      <c r="S38" s="734"/>
      <c r="T38" s="733"/>
    </row>
    <row r="39" spans="1:20">
      <c r="A39" s="817">
        <v>30</v>
      </c>
      <c r="B39" s="739"/>
      <c r="C39" s="738"/>
      <c r="D39" s="738"/>
      <c r="E39" s="737"/>
      <c r="F39" s="734"/>
      <c r="G39" s="736" t="s">
        <v>2059</v>
      </c>
      <c r="H39" s="743">
        <f>ROUND(H35/J35,4)</f>
        <v>0.73719999999999997</v>
      </c>
      <c r="I39" s="743">
        <f>J39-H39</f>
        <v>0.26280000000000003</v>
      </c>
      <c r="J39" s="742">
        <v>1</v>
      </c>
      <c r="K39" s="735"/>
      <c r="L39" s="734"/>
      <c r="M39" s="734"/>
      <c r="N39" s="733"/>
      <c r="O39" s="735"/>
      <c r="P39" s="734"/>
      <c r="Q39" s="733"/>
      <c r="R39" s="735"/>
      <c r="S39" s="734"/>
      <c r="T39" s="733"/>
    </row>
    <row r="40" spans="1:20">
      <c r="A40" s="817">
        <v>31</v>
      </c>
      <c r="B40" s="739"/>
      <c r="C40" s="738"/>
      <c r="D40" s="738"/>
      <c r="E40" s="737"/>
      <c r="F40" s="734"/>
      <c r="G40" s="734"/>
      <c r="H40" s="741"/>
      <c r="I40" s="741"/>
      <c r="J40" s="740"/>
      <c r="K40" s="735"/>
      <c r="L40" s="734"/>
      <c r="M40" s="734"/>
      <c r="N40" s="733"/>
      <c r="O40" s="735"/>
      <c r="P40" s="734"/>
      <c r="Q40" s="733"/>
      <c r="R40" s="735"/>
      <c r="S40" s="734"/>
      <c r="T40" s="733"/>
    </row>
    <row r="41" spans="1:20">
      <c r="A41" s="817">
        <v>32</v>
      </c>
      <c r="B41" s="739"/>
      <c r="C41" s="738"/>
      <c r="D41" s="738"/>
      <c r="E41" s="737"/>
      <c r="F41" s="734"/>
      <c r="G41" s="734"/>
      <c r="H41" s="734"/>
      <c r="I41" s="734"/>
      <c r="J41" s="733"/>
      <c r="K41" s="735"/>
      <c r="L41" s="734"/>
      <c r="M41" s="734"/>
      <c r="N41" s="733"/>
      <c r="O41" s="735"/>
      <c r="P41" s="734"/>
      <c r="Q41" s="733"/>
      <c r="R41" s="735"/>
      <c r="S41" s="734"/>
      <c r="T41" s="733"/>
    </row>
    <row r="42" spans="1:20">
      <c r="A42" s="817">
        <v>33</v>
      </c>
      <c r="B42" s="739"/>
      <c r="C42" s="738"/>
      <c r="D42" s="738"/>
      <c r="E42" s="737"/>
      <c r="F42" s="734"/>
      <c r="G42" s="734"/>
      <c r="H42" s="734"/>
      <c r="I42" s="734"/>
      <c r="J42" s="733"/>
      <c r="K42" s="735"/>
      <c r="L42" s="734"/>
      <c r="M42" s="734"/>
      <c r="N42" s="733"/>
      <c r="O42" s="735"/>
      <c r="P42" s="734"/>
      <c r="Q42" s="733"/>
      <c r="R42" s="735"/>
      <c r="S42" s="734"/>
      <c r="T42" s="733"/>
    </row>
    <row r="43" spans="1:20">
      <c r="A43" s="817">
        <v>34</v>
      </c>
      <c r="B43" s="739"/>
      <c r="C43" s="738"/>
      <c r="D43" s="738"/>
      <c r="E43" s="737"/>
      <c r="F43" s="736" t="s">
        <v>2058</v>
      </c>
      <c r="G43" s="734"/>
      <c r="H43" s="734"/>
      <c r="I43" s="734"/>
      <c r="J43" s="733"/>
      <c r="K43" s="735"/>
      <c r="L43" s="734"/>
      <c r="M43" s="734"/>
      <c r="N43" s="733"/>
      <c r="O43" s="735"/>
      <c r="P43" s="734"/>
      <c r="Q43" s="733"/>
      <c r="R43" s="735"/>
      <c r="S43" s="734"/>
      <c r="T43" s="733"/>
    </row>
    <row r="44" spans="1:20">
      <c r="A44" s="817">
        <v>35</v>
      </c>
      <c r="B44" s="739"/>
      <c r="C44" s="738"/>
      <c r="D44" s="738"/>
      <c r="E44" s="737"/>
      <c r="F44" s="736"/>
      <c r="G44" s="734"/>
      <c r="H44" s="734"/>
      <c r="I44" s="734"/>
      <c r="J44" s="733"/>
      <c r="K44" s="735"/>
      <c r="L44" s="734"/>
      <c r="M44" s="734"/>
      <c r="N44" s="733"/>
      <c r="O44" s="735"/>
      <c r="P44" s="734"/>
      <c r="Q44" s="733"/>
      <c r="R44" s="735"/>
      <c r="S44" s="734"/>
      <c r="T44" s="733"/>
    </row>
    <row r="45" spans="1:20" ht="13.5" thickBot="1">
      <c r="A45" s="817">
        <v>36</v>
      </c>
      <c r="B45" s="732"/>
      <c r="C45" s="731"/>
      <c r="D45" s="731"/>
      <c r="E45" s="730"/>
      <c r="F45" s="729"/>
      <c r="G45" s="727"/>
      <c r="H45" s="727"/>
      <c r="I45" s="727"/>
      <c r="J45" s="726"/>
      <c r="K45" s="728"/>
      <c r="L45" s="727"/>
      <c r="M45" s="727"/>
      <c r="N45" s="726"/>
      <c r="O45" s="728"/>
      <c r="P45" s="727"/>
      <c r="Q45" s="726"/>
      <c r="R45" s="728"/>
      <c r="S45" s="727"/>
      <c r="T45" s="726"/>
    </row>
    <row r="46" spans="1:20">
      <c r="A46" s="817">
        <v>37</v>
      </c>
      <c r="F46" s="721"/>
      <c r="G46" s="721"/>
      <c r="H46" s="721"/>
      <c r="I46" s="721"/>
      <c r="J46" s="721"/>
      <c r="K46" s="721"/>
      <c r="L46" s="721"/>
      <c r="M46" s="721"/>
      <c r="N46" s="721"/>
      <c r="O46" s="721"/>
      <c r="P46" s="721"/>
      <c r="Q46" s="721"/>
      <c r="R46" s="721"/>
      <c r="S46" s="721"/>
      <c r="T46" s="721"/>
    </row>
    <row r="47" spans="1:20">
      <c r="A47" s="817">
        <v>38</v>
      </c>
      <c r="F47" s="721"/>
      <c r="G47" s="721"/>
      <c r="H47" s="721"/>
      <c r="I47" s="721"/>
      <c r="J47" s="721"/>
      <c r="K47" s="721"/>
      <c r="L47" s="721"/>
      <c r="M47" s="721"/>
      <c r="N47" s="721"/>
      <c r="O47" s="721"/>
      <c r="P47" s="721"/>
      <c r="Q47" s="721"/>
      <c r="R47" s="721"/>
      <c r="S47" s="721"/>
      <c r="T47" s="721"/>
    </row>
    <row r="48" spans="1:20" ht="14.25">
      <c r="A48" s="817">
        <v>39</v>
      </c>
      <c r="B48" s="720" t="s">
        <v>2057</v>
      </c>
      <c r="F48" s="721"/>
      <c r="G48" s="721"/>
      <c r="H48" s="721"/>
      <c r="I48" s="721"/>
      <c r="J48" s="721"/>
      <c r="K48" s="721"/>
      <c r="L48" s="721"/>
      <c r="M48" s="721"/>
      <c r="N48" s="721"/>
      <c r="O48" s="721"/>
      <c r="P48" s="721"/>
      <c r="Q48" s="721"/>
      <c r="R48" s="721"/>
      <c r="S48" s="721"/>
      <c r="T48" s="721"/>
    </row>
    <row r="49" spans="1:20" ht="14.25">
      <c r="A49" s="817">
        <v>40</v>
      </c>
      <c r="B49" s="720" t="s">
        <v>2056</v>
      </c>
      <c r="F49" s="721"/>
      <c r="G49" s="721"/>
      <c r="H49" s="721"/>
      <c r="I49" s="721"/>
      <c r="J49" s="721"/>
      <c r="K49" s="721"/>
      <c r="L49" s="721"/>
      <c r="M49" s="721"/>
      <c r="N49" s="721"/>
      <c r="O49" s="725">
        <v>2015</v>
      </c>
      <c r="P49" s="723" t="s">
        <v>2055</v>
      </c>
      <c r="Q49" s="723" t="s">
        <v>2054</v>
      </c>
      <c r="R49" s="723" t="s">
        <v>52</v>
      </c>
      <c r="S49" s="721"/>
      <c r="T49" s="721"/>
    </row>
    <row r="50" spans="1:20" ht="14.25">
      <c r="A50" s="817">
        <v>41</v>
      </c>
      <c r="B50" s="720" t="s">
        <v>2053</v>
      </c>
      <c r="F50" s="721"/>
      <c r="G50" s="721"/>
      <c r="H50" s="721"/>
      <c r="I50" s="721"/>
      <c r="J50" s="721"/>
      <c r="K50" s="721"/>
      <c r="L50" s="721"/>
      <c r="M50" s="724"/>
      <c r="N50" s="724"/>
      <c r="O50" s="721" t="s">
        <v>2052</v>
      </c>
      <c r="P50" s="721">
        <v>204762</v>
      </c>
      <c r="Q50" s="721">
        <v>68437</v>
      </c>
      <c r="R50" s="721">
        <f t="shared" ref="R50:R61" si="1">SUM(P50:Q50)</f>
        <v>273199</v>
      </c>
      <c r="S50" s="721" t="s">
        <v>50</v>
      </c>
      <c r="T50" s="721"/>
    </row>
    <row r="51" spans="1:20">
      <c r="F51" s="721"/>
      <c r="G51" s="721"/>
      <c r="H51" s="721"/>
      <c r="I51" s="721"/>
      <c r="J51" s="721"/>
      <c r="K51" s="721"/>
      <c r="L51" s="721"/>
      <c r="M51" s="724"/>
      <c r="N51" s="724"/>
      <c r="O51" s="721" t="s">
        <v>2051</v>
      </c>
      <c r="P51" s="721">
        <v>204932</v>
      </c>
      <c r="Q51" s="721">
        <v>68540</v>
      </c>
      <c r="R51" s="721">
        <f t="shared" si="1"/>
        <v>273472</v>
      </c>
      <c r="S51" s="721"/>
      <c r="T51" s="721"/>
    </row>
    <row r="52" spans="1:20">
      <c r="F52" s="721"/>
      <c r="G52" s="721"/>
      <c r="H52" s="721"/>
      <c r="I52" s="721"/>
      <c r="J52" s="721"/>
      <c r="K52" s="721"/>
      <c r="L52" s="721"/>
      <c r="M52" s="724"/>
      <c r="N52" s="724"/>
      <c r="O52" s="721" t="s">
        <v>2050</v>
      </c>
      <c r="P52" s="721">
        <v>204772</v>
      </c>
      <c r="Q52" s="721">
        <v>68528</v>
      </c>
      <c r="R52" s="721">
        <f t="shared" si="1"/>
        <v>273300</v>
      </c>
      <c r="S52" s="721"/>
      <c r="T52" s="721"/>
    </row>
    <row r="53" spans="1:20">
      <c r="F53" s="721"/>
      <c r="G53" s="721"/>
      <c r="H53" s="721"/>
      <c r="I53" s="721"/>
      <c r="J53" s="721"/>
      <c r="K53" s="721"/>
      <c r="L53" s="721"/>
      <c r="M53" s="724"/>
      <c r="N53" s="724"/>
      <c r="O53" s="721" t="s">
        <v>2049</v>
      </c>
      <c r="P53" s="721">
        <v>204497</v>
      </c>
      <c r="Q53" s="721">
        <v>68558</v>
      </c>
      <c r="R53" s="721">
        <f t="shared" si="1"/>
        <v>273055</v>
      </c>
      <c r="S53" s="721"/>
      <c r="T53" s="721"/>
    </row>
    <row r="54" spans="1:20">
      <c r="F54" s="721"/>
      <c r="G54" s="721"/>
      <c r="H54" s="721"/>
      <c r="I54" s="721"/>
      <c r="J54" s="721"/>
      <c r="K54" s="721"/>
      <c r="L54" s="721"/>
      <c r="M54" s="724"/>
      <c r="N54" s="724"/>
      <c r="O54" s="721" t="s">
        <v>2048</v>
      </c>
      <c r="P54" s="721">
        <v>204302</v>
      </c>
      <c r="Q54" s="721">
        <v>68522</v>
      </c>
      <c r="R54" s="721">
        <f t="shared" si="1"/>
        <v>272824</v>
      </c>
      <c r="S54" s="721"/>
      <c r="T54" s="721"/>
    </row>
    <row r="55" spans="1:20">
      <c r="F55" s="721"/>
      <c r="G55" s="721"/>
      <c r="H55" s="721"/>
      <c r="I55" s="721"/>
      <c r="J55" s="721"/>
      <c r="K55" s="721"/>
      <c r="L55" s="721"/>
      <c r="M55" s="724"/>
      <c r="N55" s="724"/>
      <c r="O55" s="721" t="s">
        <v>2047</v>
      </c>
      <c r="P55" s="721">
        <v>203865</v>
      </c>
      <c r="Q55" s="721">
        <v>68384</v>
      </c>
      <c r="R55" s="721">
        <f t="shared" si="1"/>
        <v>272249</v>
      </c>
      <c r="S55" s="721"/>
      <c r="T55" s="721"/>
    </row>
    <row r="56" spans="1:20">
      <c r="F56" s="721"/>
      <c r="G56" s="721"/>
      <c r="H56" s="721"/>
      <c r="I56" s="721"/>
      <c r="J56" s="721"/>
      <c r="K56" s="721"/>
      <c r="L56" s="721"/>
      <c r="M56" s="724"/>
      <c r="N56" s="724"/>
      <c r="O56" s="721" t="s">
        <v>2046</v>
      </c>
      <c r="P56" s="721">
        <v>203684</v>
      </c>
      <c r="Q56" s="721">
        <v>68317</v>
      </c>
      <c r="R56" s="721">
        <f t="shared" si="1"/>
        <v>272001</v>
      </c>
      <c r="S56" s="721"/>
      <c r="T56" s="721"/>
    </row>
    <row r="57" spans="1:20">
      <c r="F57" s="721"/>
      <c r="G57" s="721"/>
      <c r="H57" s="721"/>
      <c r="I57" s="721"/>
      <c r="J57" s="721"/>
      <c r="K57" s="721"/>
      <c r="L57" s="721"/>
      <c r="M57" s="724"/>
      <c r="N57" s="724"/>
      <c r="O57" s="721" t="s">
        <v>2045</v>
      </c>
      <c r="P57" s="721">
        <v>203821</v>
      </c>
      <c r="Q57" s="721">
        <v>68375</v>
      </c>
      <c r="R57" s="721">
        <f t="shared" si="1"/>
        <v>272196</v>
      </c>
      <c r="S57" s="721"/>
      <c r="T57" s="721"/>
    </row>
    <row r="58" spans="1:20">
      <c r="F58" s="721"/>
      <c r="G58" s="721"/>
      <c r="H58" s="721"/>
      <c r="I58" s="721"/>
      <c r="J58" s="721"/>
      <c r="K58" s="721"/>
      <c r="L58" s="721"/>
      <c r="M58" s="724"/>
      <c r="N58" s="724"/>
      <c r="O58" s="721" t="s">
        <v>2044</v>
      </c>
      <c r="P58" s="721">
        <v>204398</v>
      </c>
      <c r="Q58" s="721">
        <v>68614</v>
      </c>
      <c r="R58" s="721">
        <f t="shared" si="1"/>
        <v>273012</v>
      </c>
      <c r="S58" s="721"/>
      <c r="T58" s="721"/>
    </row>
    <row r="59" spans="1:20">
      <c r="F59" s="721"/>
      <c r="G59" s="721"/>
      <c r="H59" s="721"/>
      <c r="I59" s="721"/>
      <c r="J59" s="721"/>
      <c r="K59" s="721"/>
      <c r="L59" s="721"/>
      <c r="M59" s="724"/>
      <c r="N59" s="724"/>
      <c r="O59" s="721" t="s">
        <v>2043</v>
      </c>
      <c r="P59" s="721">
        <v>205350</v>
      </c>
      <c r="Q59" s="721">
        <v>69045</v>
      </c>
      <c r="R59" s="721">
        <f t="shared" si="1"/>
        <v>274395</v>
      </c>
      <c r="S59" s="721"/>
      <c r="T59" s="721"/>
    </row>
    <row r="60" spans="1:20">
      <c r="F60" s="721"/>
      <c r="G60" s="721"/>
      <c r="H60" s="721"/>
      <c r="I60" s="721"/>
      <c r="J60" s="721"/>
      <c r="K60" s="721"/>
      <c r="L60" s="721"/>
      <c r="M60" s="724"/>
      <c r="N60" s="724"/>
      <c r="O60" s="721" t="s">
        <v>2042</v>
      </c>
      <c r="P60" s="721">
        <v>206666</v>
      </c>
      <c r="Q60" s="721">
        <v>69601</v>
      </c>
      <c r="R60" s="721">
        <f t="shared" si="1"/>
        <v>276267</v>
      </c>
      <c r="S60" s="721"/>
      <c r="T60" s="721"/>
    </row>
    <row r="61" spans="1:20">
      <c r="F61" s="721"/>
      <c r="G61" s="721"/>
      <c r="H61" s="721"/>
      <c r="I61" s="721"/>
      <c r="J61" s="721"/>
      <c r="K61" s="721"/>
      <c r="L61" s="721"/>
      <c r="M61" s="724"/>
      <c r="N61" s="724"/>
      <c r="O61" s="721" t="s">
        <v>2041</v>
      </c>
      <c r="P61" s="723">
        <v>207363</v>
      </c>
      <c r="Q61" s="723">
        <v>69868</v>
      </c>
      <c r="R61" s="721">
        <f t="shared" si="1"/>
        <v>277231</v>
      </c>
      <c r="S61" s="721"/>
      <c r="T61" s="721"/>
    </row>
    <row r="62" spans="1:20">
      <c r="F62" s="721"/>
      <c r="G62" s="721"/>
      <c r="H62" s="721"/>
      <c r="I62" s="721"/>
      <c r="J62" s="721"/>
      <c r="K62" s="721"/>
      <c r="L62" s="721"/>
      <c r="M62" s="721"/>
      <c r="N62" s="721"/>
      <c r="O62" s="721" t="s">
        <v>2040</v>
      </c>
      <c r="P62" s="721">
        <f>AVERAGE(P50:P61)</f>
        <v>204867.66666666666</v>
      </c>
      <c r="Q62" s="721">
        <f>AVERAGE(Q50:Q61)</f>
        <v>68732.416666666672</v>
      </c>
      <c r="R62" s="721"/>
      <c r="S62" s="721"/>
      <c r="T62" s="721"/>
    </row>
    <row r="63" spans="1:20">
      <c r="F63" s="721"/>
      <c r="G63" s="721"/>
      <c r="H63" s="721"/>
      <c r="I63" s="721"/>
      <c r="J63" s="721"/>
      <c r="K63" s="721"/>
      <c r="L63" s="721"/>
      <c r="M63" s="721"/>
      <c r="N63" s="721"/>
      <c r="O63" s="721"/>
      <c r="P63" s="722"/>
      <c r="Q63" s="722"/>
      <c r="R63" s="721"/>
      <c r="S63" s="721"/>
      <c r="T63" s="721"/>
    </row>
    <row r="64" spans="1:20">
      <c r="F64" s="721"/>
      <c r="G64" s="721"/>
      <c r="H64" s="721"/>
      <c r="I64" s="721"/>
      <c r="J64" s="721"/>
      <c r="K64" s="721"/>
      <c r="L64" s="721"/>
      <c r="M64" s="721"/>
      <c r="N64" s="721"/>
      <c r="O64" s="721"/>
      <c r="P64" s="721"/>
      <c r="Q64" s="721"/>
      <c r="R64" s="721"/>
      <c r="S64" s="721"/>
      <c r="T64" s="721"/>
    </row>
    <row r="65" spans="6:20">
      <c r="F65" s="721"/>
      <c r="G65" s="721"/>
      <c r="H65" s="721"/>
      <c r="I65" s="721"/>
      <c r="J65" s="721"/>
      <c r="K65" s="721"/>
      <c r="L65" s="721"/>
      <c r="M65" s="721"/>
      <c r="N65" s="721"/>
      <c r="O65" s="721"/>
      <c r="P65" s="721"/>
      <c r="Q65" s="721"/>
      <c r="R65" s="721"/>
      <c r="S65" s="721"/>
      <c r="T65" s="721"/>
    </row>
    <row r="66" spans="6:20">
      <c r="F66" s="721"/>
      <c r="G66" s="721"/>
      <c r="H66" s="721"/>
      <c r="I66" s="721"/>
      <c r="J66" s="721"/>
      <c r="K66" s="721"/>
      <c r="L66" s="721"/>
      <c r="M66" s="721"/>
      <c r="N66" s="721"/>
      <c r="O66" s="721"/>
      <c r="P66" s="721"/>
      <c r="Q66" s="721"/>
      <c r="R66" s="721"/>
      <c r="S66" s="721"/>
      <c r="T66" s="721"/>
    </row>
    <row r="67" spans="6:20">
      <c r="F67" s="721"/>
      <c r="G67" s="721"/>
      <c r="H67" s="721"/>
      <c r="I67" s="721"/>
      <c r="J67" s="721"/>
      <c r="K67" s="721"/>
      <c r="L67" s="721"/>
      <c r="M67" s="721"/>
      <c r="N67" s="721"/>
      <c r="O67" s="721"/>
      <c r="P67" s="721"/>
      <c r="Q67" s="721"/>
      <c r="R67" s="721"/>
      <c r="S67" s="721"/>
      <c r="T67" s="721"/>
    </row>
    <row r="68" spans="6:20">
      <c r="F68" s="721"/>
      <c r="G68" s="721"/>
      <c r="H68" s="721"/>
      <c r="I68" s="721"/>
      <c r="J68" s="721"/>
      <c r="K68" s="721"/>
      <c r="L68" s="721"/>
      <c r="M68" s="721"/>
      <c r="N68" s="721"/>
      <c r="O68" s="721"/>
      <c r="P68" s="721"/>
      <c r="Q68" s="721"/>
      <c r="R68" s="721"/>
      <c r="S68" s="721"/>
      <c r="T68" s="721"/>
    </row>
    <row r="69" spans="6:20">
      <c r="F69" s="721"/>
      <c r="G69" s="721"/>
      <c r="H69" s="721"/>
      <c r="I69" s="721"/>
      <c r="J69" s="721"/>
      <c r="K69" s="721"/>
      <c r="L69" s="721"/>
      <c r="M69" s="721"/>
      <c r="N69" s="721"/>
      <c r="O69" s="721"/>
      <c r="P69" s="721"/>
      <c r="Q69" s="721"/>
      <c r="R69" s="721"/>
      <c r="S69" s="721"/>
      <c r="T69" s="721"/>
    </row>
    <row r="70" spans="6:20">
      <c r="F70" s="721"/>
      <c r="G70" s="721"/>
      <c r="H70" s="721"/>
      <c r="I70" s="721"/>
      <c r="J70" s="721"/>
      <c r="K70" s="721"/>
      <c r="L70" s="721"/>
      <c r="M70" s="721"/>
      <c r="N70" s="721"/>
      <c r="O70" s="721"/>
      <c r="P70" s="721"/>
      <c r="Q70" s="721"/>
      <c r="R70" s="721"/>
      <c r="S70" s="721"/>
      <c r="T70" s="721"/>
    </row>
    <row r="71" spans="6:20">
      <c r="F71" s="721"/>
      <c r="G71" s="721"/>
      <c r="H71" s="721"/>
      <c r="I71" s="721"/>
      <c r="J71" s="721"/>
      <c r="K71" s="721"/>
      <c r="L71" s="721"/>
      <c r="M71" s="721"/>
      <c r="N71" s="721"/>
      <c r="O71" s="721"/>
      <c r="P71" s="721"/>
      <c r="Q71" s="721"/>
      <c r="R71" s="721"/>
      <c r="S71" s="721"/>
      <c r="T71" s="721"/>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&amp;A&amp;R&amp;"Times New Roman,Regular"&amp;9 26678.897\4829-5163-7600.v1</oddFooter>
  </headerFooter>
  <rowBreaks count="1" manualBreakCount="1">
    <brk id="45" max="19" man="1"/>
  </rowBreaks>
  <colBreaks count="4" manualBreakCount="4">
    <brk id="5" max="1048575" man="1"/>
    <brk id="10" max="1048575" man="1"/>
    <brk id="14" max="1048575" man="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36"/>
  <sheetViews>
    <sheetView workbookViewId="0">
      <selection activeCell="A3" sqref="A3:I3"/>
    </sheetView>
  </sheetViews>
  <sheetFormatPr defaultColWidth="9.140625" defaultRowHeight="15.75"/>
  <cols>
    <col min="1" max="16384" width="9.140625" style="4"/>
  </cols>
  <sheetData>
    <row r="1" spans="1:10">
      <c r="A1" s="1244" t="s">
        <v>53</v>
      </c>
      <c r="B1" s="1244"/>
      <c r="C1" s="1244"/>
      <c r="D1" s="1244"/>
      <c r="E1" s="1244"/>
      <c r="F1" s="1244"/>
      <c r="G1" s="1244"/>
      <c r="H1" s="1244"/>
      <c r="I1" s="1244"/>
    </row>
    <row r="2" spans="1:10">
      <c r="A2" s="1244" t="s">
        <v>1659</v>
      </c>
      <c r="B2" s="1244"/>
      <c r="C2" s="1244"/>
      <c r="D2" s="1244"/>
      <c r="E2" s="1244"/>
      <c r="F2" s="1244"/>
      <c r="G2" s="1244"/>
      <c r="H2" s="1244"/>
      <c r="I2" s="1244"/>
    </row>
    <row r="3" spans="1:10">
      <c r="A3" s="1244" t="s">
        <v>1660</v>
      </c>
      <c r="B3" s="1244"/>
      <c r="C3" s="1244"/>
      <c r="D3" s="1244"/>
      <c r="E3" s="1244"/>
      <c r="F3" s="1244"/>
      <c r="G3" s="1244"/>
      <c r="H3" s="1244"/>
      <c r="I3" s="1244"/>
    </row>
    <row r="4" spans="1:10">
      <c r="A4" s="1244"/>
      <c r="B4" s="1244"/>
      <c r="C4" s="1244"/>
      <c r="D4" s="1244"/>
      <c r="E4" s="1244"/>
      <c r="F4" s="1244"/>
      <c r="G4" s="1244"/>
      <c r="H4" s="1244"/>
      <c r="I4" s="1244"/>
    </row>
    <row r="5" spans="1:10">
      <c r="A5" s="1244"/>
      <c r="B5" s="1244"/>
      <c r="C5" s="1244"/>
      <c r="D5" s="1244"/>
      <c r="E5" s="1244"/>
      <c r="F5" s="1244"/>
      <c r="G5" s="1244"/>
      <c r="H5" s="1244"/>
      <c r="I5" s="1244"/>
    </row>
    <row r="10" spans="1:10">
      <c r="G10" s="17"/>
    </row>
    <row r="13" spans="1:10">
      <c r="A13" s="1277" t="s">
        <v>1675</v>
      </c>
      <c r="B13" s="1277"/>
      <c r="C13" s="1277"/>
      <c r="D13" s="1277"/>
      <c r="E13" s="1277"/>
      <c r="F13" s="1277"/>
      <c r="G13" s="1277"/>
      <c r="H13" s="1277"/>
      <c r="I13" s="1277"/>
      <c r="J13" s="1277"/>
    </row>
    <row r="36" spans="4:4">
      <c r="D36" s="20"/>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Name:&amp;A&amp;R&amp;"Times New Roman,Regular"&amp;9 26678.897\4829-5163-7600.v1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K47"/>
  <sheetViews>
    <sheetView view="pageBreakPreview" topLeftCell="A4" zoomScale="80" zoomScaleNormal="100" zoomScaleSheetLayoutView="80" workbookViewId="0">
      <selection activeCell="A3" sqref="A3:H3"/>
    </sheetView>
  </sheetViews>
  <sheetFormatPr defaultColWidth="9.140625" defaultRowHeight="15.75"/>
  <cols>
    <col min="1" max="1" width="9.28515625" style="4" bestFit="1" customWidth="1"/>
    <col min="2" max="2" width="32.85546875" style="4" customWidth="1"/>
    <col min="3" max="3" width="2.42578125" style="4" customWidth="1"/>
    <col min="4" max="4" width="14" style="4" bestFit="1" customWidth="1"/>
    <col min="5" max="5" width="18.140625" style="4" bestFit="1" customWidth="1"/>
    <col min="6" max="6" width="14" style="4" bestFit="1" customWidth="1"/>
    <col min="7" max="7" width="2.28515625" style="4" customWidth="1"/>
    <col min="8" max="8" width="12.7109375" style="4" bestFit="1" customWidth="1"/>
    <col min="9" max="10" width="9.140625" style="4"/>
    <col min="11" max="11" width="14.28515625" style="4" bestFit="1" customWidth="1"/>
    <col min="12" max="16384" width="9.140625" style="4"/>
  </cols>
  <sheetData>
    <row r="2" spans="1:11">
      <c r="A2" s="1"/>
      <c r="B2" s="1244" t="s">
        <v>53</v>
      </c>
      <c r="C2" s="1244"/>
      <c r="D2" s="1244"/>
      <c r="E2" s="1244"/>
      <c r="F2" s="1244"/>
      <c r="G2" s="1244"/>
      <c r="H2" s="1244"/>
      <c r="I2" s="3"/>
      <c r="J2" s="3"/>
    </row>
    <row r="3" spans="1:11">
      <c r="A3" s="381"/>
      <c r="B3" s="1244" t="s">
        <v>1659</v>
      </c>
      <c r="C3" s="1244"/>
      <c r="D3" s="1244"/>
      <c r="E3" s="1244"/>
      <c r="F3" s="1244"/>
      <c r="G3" s="1244"/>
      <c r="H3" s="1244"/>
      <c r="I3" s="3"/>
      <c r="J3" s="3"/>
    </row>
    <row r="4" spans="1:11">
      <c r="A4" s="1"/>
      <c r="B4" s="1244" t="s">
        <v>1667</v>
      </c>
      <c r="C4" s="1244"/>
      <c r="D4" s="1244"/>
      <c r="E4" s="1244"/>
      <c r="F4" s="1244"/>
      <c r="G4" s="1244"/>
      <c r="H4" s="1244"/>
      <c r="I4" s="3"/>
      <c r="J4" s="3"/>
    </row>
    <row r="5" spans="1:11">
      <c r="A5" s="382"/>
      <c r="B5" s="1244" t="s">
        <v>1676</v>
      </c>
      <c r="C5" s="1244"/>
      <c r="D5" s="1244"/>
      <c r="E5" s="1244"/>
      <c r="F5" s="1244"/>
      <c r="G5" s="1244"/>
      <c r="H5" s="1244"/>
      <c r="I5" s="3"/>
      <c r="J5" s="3"/>
    </row>
    <row r="6" spans="1:11">
      <c r="A6" s="382"/>
      <c r="B6" s="1244" t="s">
        <v>971</v>
      </c>
      <c r="C6" s="1244"/>
      <c r="D6" s="1244"/>
      <c r="E6" s="1244"/>
      <c r="F6" s="1244"/>
      <c r="G6" s="1244"/>
      <c r="H6" s="1244"/>
      <c r="I6" s="3"/>
      <c r="J6" s="3"/>
    </row>
    <row r="7" spans="1:11">
      <c r="A7" s="382"/>
      <c r="B7" s="23"/>
      <c r="C7" s="23"/>
      <c r="D7" s="23"/>
      <c r="E7" s="23"/>
      <c r="F7" s="23"/>
      <c r="H7" s="23"/>
      <c r="I7" s="3"/>
      <c r="J7" s="3"/>
    </row>
    <row r="8" spans="1:11" s="6" customFormat="1">
      <c r="A8" s="22"/>
      <c r="B8" s="22" t="s">
        <v>1689</v>
      </c>
      <c r="C8" s="22"/>
      <c r="D8" s="383" t="s">
        <v>1687</v>
      </c>
      <c r="E8" s="22" t="s">
        <v>1688</v>
      </c>
      <c r="F8" s="384" t="s">
        <v>1691</v>
      </c>
      <c r="H8" s="22" t="s">
        <v>1692</v>
      </c>
    </row>
    <row r="9" spans="1:11" ht="47.25">
      <c r="A9" s="385" t="s">
        <v>879</v>
      </c>
      <c r="B9" s="386" t="s">
        <v>370</v>
      </c>
      <c r="C9" s="387"/>
      <c r="D9" s="388" t="s">
        <v>2085</v>
      </c>
      <c r="E9" s="389" t="s">
        <v>1694</v>
      </c>
      <c r="F9" s="388" t="s">
        <v>1693</v>
      </c>
      <c r="H9" s="18" t="s">
        <v>1685</v>
      </c>
    </row>
    <row r="10" spans="1:11">
      <c r="A10" s="390"/>
      <c r="B10" s="390"/>
      <c r="C10" s="390"/>
      <c r="D10" s="388"/>
      <c r="E10" s="390"/>
      <c r="F10" s="391"/>
    </row>
    <row r="11" spans="1:11">
      <c r="A11" s="22"/>
      <c r="B11" s="385" t="s">
        <v>881</v>
      </c>
      <c r="C11" s="262"/>
      <c r="D11" s="392"/>
      <c r="E11" s="390"/>
      <c r="F11" s="391"/>
    </row>
    <row r="12" spans="1:11">
      <c r="A12" s="22">
        <v>1</v>
      </c>
      <c r="B12" s="390" t="s">
        <v>882</v>
      </c>
      <c r="C12" s="390"/>
      <c r="D12" s="393">
        <f>+D26+0.29484</f>
        <v>0.79052999999999995</v>
      </c>
      <c r="E12" s="394">
        <f>+F42</f>
        <v>13351163</v>
      </c>
      <c r="F12" s="391">
        <f>ROUND(E12*D12,2)</f>
        <v>10554494.890000001</v>
      </c>
      <c r="H12" s="395">
        <f>+F12-F26</f>
        <v>3936456.9000000004</v>
      </c>
      <c r="I12" s="20"/>
      <c r="K12" s="35"/>
    </row>
    <row r="13" spans="1:11">
      <c r="A13" s="390"/>
      <c r="B13" s="390"/>
      <c r="C13" s="390"/>
      <c r="D13" s="392"/>
      <c r="E13" s="390"/>
      <c r="F13" s="391"/>
      <c r="H13" s="20"/>
      <c r="I13" s="20"/>
    </row>
    <row r="14" spans="1:11">
      <c r="A14" s="390"/>
      <c r="B14" s="385" t="s">
        <v>883</v>
      </c>
      <c r="C14" s="390"/>
      <c r="D14" s="392"/>
      <c r="E14" s="390"/>
      <c r="F14" s="391"/>
      <c r="H14" s="20"/>
      <c r="I14" s="20"/>
    </row>
    <row r="15" spans="1:11">
      <c r="A15" s="22">
        <v>2</v>
      </c>
      <c r="B15" s="390" t="s">
        <v>884</v>
      </c>
      <c r="C15" s="390"/>
      <c r="D15" s="393">
        <f>+D29+0.24608</f>
        <v>0.73912</v>
      </c>
      <c r="E15" s="394">
        <f>+F43</f>
        <v>5593392</v>
      </c>
      <c r="F15" s="396">
        <f>ROUND(E15*D15,2)</f>
        <v>4134187.9</v>
      </c>
      <c r="H15" s="395">
        <f>+F15-F29</f>
        <v>1376421.9099999997</v>
      </c>
      <c r="I15" s="20"/>
    </row>
    <row r="16" spans="1:11">
      <c r="A16" s="22"/>
      <c r="B16" s="390"/>
      <c r="C16" s="390"/>
      <c r="D16" s="393"/>
      <c r="E16" s="394"/>
      <c r="F16" s="396"/>
      <c r="H16" s="395"/>
      <c r="I16" s="20"/>
    </row>
    <row r="17" spans="1:9">
      <c r="A17" s="22"/>
      <c r="B17" s="385" t="s">
        <v>1978</v>
      </c>
      <c r="C17" s="390"/>
      <c r="D17" s="393"/>
      <c r="E17" s="394"/>
      <c r="F17" s="396"/>
      <c r="H17" s="395"/>
      <c r="I17" s="20"/>
    </row>
    <row r="18" spans="1:9">
      <c r="A18" s="22">
        <v>3</v>
      </c>
      <c r="B18" s="390" t="s">
        <v>1695</v>
      </c>
      <c r="C18" s="390"/>
      <c r="D18" s="393">
        <f>+D32+0.1462</f>
        <v>0.62613000000000008</v>
      </c>
      <c r="E18" s="397">
        <f>+F44</f>
        <v>593880</v>
      </c>
      <c r="F18" s="391">
        <f>+D18*E18</f>
        <v>371846.08440000005</v>
      </c>
      <c r="H18" s="395">
        <f>+F18-F32</f>
        <v>86825.256000000052</v>
      </c>
      <c r="I18" s="20"/>
    </row>
    <row r="19" spans="1:9">
      <c r="A19" s="22">
        <v>4</v>
      </c>
      <c r="B19" s="390" t="s">
        <v>1696</v>
      </c>
      <c r="C19" s="390"/>
      <c r="D19" s="393">
        <f>+D35+0.02541</f>
        <v>0.50534000000000001</v>
      </c>
      <c r="E19" s="397">
        <f>+F45</f>
        <v>814309</v>
      </c>
      <c r="F19" s="391">
        <f>+D19*E19</f>
        <v>411502.91006000002</v>
      </c>
      <c r="H19" s="395">
        <f>+F19-F35</f>
        <v>20691.59169000003</v>
      </c>
      <c r="I19" s="20"/>
    </row>
    <row r="20" spans="1:9">
      <c r="A20" s="390"/>
      <c r="B20" s="390"/>
      <c r="C20" s="390"/>
      <c r="D20" s="393"/>
      <c r="E20" s="397"/>
      <c r="F20" s="391"/>
      <c r="H20" s="395"/>
      <c r="I20" s="20"/>
    </row>
    <row r="21" spans="1:9" ht="16.5" thickBot="1">
      <c r="A21" s="22">
        <v>5</v>
      </c>
      <c r="B21" s="398" t="s">
        <v>874</v>
      </c>
      <c r="C21" s="399"/>
      <c r="D21" s="400"/>
      <c r="E21" s="401">
        <f>SUM(E12:E19)</f>
        <v>20352744</v>
      </c>
      <c r="F21" s="402">
        <f>SUM(F12:F19)</f>
        <v>15472031.784460001</v>
      </c>
      <c r="H21" s="403">
        <f>+H15+H19+H18+H12</f>
        <v>5420395.6576899998</v>
      </c>
      <c r="I21" s="20"/>
    </row>
    <row r="22" spans="1:9" ht="16.5" thickTop="1">
      <c r="A22" s="390"/>
      <c r="B22" s="390"/>
      <c r="C22" s="390"/>
      <c r="D22" s="392"/>
      <c r="E22" s="390"/>
      <c r="F22" s="391"/>
      <c r="H22" s="20"/>
      <c r="I22" s="20"/>
    </row>
    <row r="23" spans="1:9">
      <c r="A23" s="390"/>
      <c r="B23" s="385" t="s">
        <v>885</v>
      </c>
      <c r="C23" s="390"/>
      <c r="D23" s="392"/>
      <c r="E23" s="390"/>
      <c r="F23" s="391"/>
      <c r="H23" s="20"/>
      <c r="I23" s="20"/>
    </row>
    <row r="24" spans="1:9">
      <c r="A24" s="390"/>
      <c r="B24" s="390" t="s">
        <v>2092</v>
      </c>
      <c r="C24" s="390"/>
      <c r="D24" s="392"/>
      <c r="E24" s="390"/>
      <c r="F24" s="391"/>
      <c r="H24" s="20"/>
      <c r="I24" s="20"/>
    </row>
    <row r="25" spans="1:9">
      <c r="A25" s="22">
        <v>6</v>
      </c>
      <c r="B25" s="390" t="s">
        <v>1697</v>
      </c>
      <c r="C25" s="390"/>
      <c r="D25" s="392"/>
      <c r="E25" s="390"/>
      <c r="F25" s="391"/>
      <c r="H25" s="20"/>
      <c r="I25" s="20"/>
    </row>
    <row r="26" spans="1:9">
      <c r="A26" s="22">
        <v>7</v>
      </c>
      <c r="B26" s="390" t="s">
        <v>886</v>
      </c>
      <c r="C26" s="390"/>
      <c r="D26" s="393">
        <v>0.49569000000000002</v>
      </c>
      <c r="E26" s="394">
        <f>+F42</f>
        <v>13351163</v>
      </c>
      <c r="F26" s="396">
        <f>ROUND(D26*E26,2)</f>
        <v>6618037.9900000002</v>
      </c>
    </row>
    <row r="27" spans="1:9">
      <c r="A27" s="390"/>
      <c r="B27" s="390"/>
      <c r="C27" s="390"/>
      <c r="D27" s="392"/>
      <c r="E27" s="390"/>
      <c r="F27" s="396"/>
    </row>
    <row r="28" spans="1:9">
      <c r="A28" s="22">
        <v>8</v>
      </c>
      <c r="B28" s="390" t="s">
        <v>1698</v>
      </c>
      <c r="C28" s="390"/>
      <c r="D28" s="392"/>
      <c r="E28" s="390"/>
      <c r="F28" s="396"/>
    </row>
    <row r="29" spans="1:9">
      <c r="A29" s="22">
        <v>9</v>
      </c>
      <c r="B29" s="390" t="s">
        <v>886</v>
      </c>
      <c r="C29" s="390"/>
      <c r="D29" s="393">
        <v>0.49303999999999998</v>
      </c>
      <c r="E29" s="404">
        <f>+F43</f>
        <v>5593392</v>
      </c>
      <c r="F29" s="396">
        <f>ROUND(D29*E29,2)</f>
        <v>2757765.99</v>
      </c>
    </row>
    <row r="30" spans="1:9">
      <c r="A30" s="22"/>
      <c r="B30" s="390"/>
      <c r="C30" s="390"/>
      <c r="D30" s="393"/>
      <c r="E30" s="404"/>
      <c r="F30" s="396"/>
    </row>
    <row r="31" spans="1:9">
      <c r="A31" s="22">
        <v>10</v>
      </c>
      <c r="B31" s="390" t="s">
        <v>1699</v>
      </c>
      <c r="C31" s="390"/>
      <c r="D31" s="393"/>
      <c r="E31" s="404"/>
      <c r="F31" s="396"/>
    </row>
    <row r="32" spans="1:9">
      <c r="A32" s="22">
        <v>11</v>
      </c>
      <c r="B32" s="390" t="s">
        <v>886</v>
      </c>
      <c r="C32" s="390"/>
      <c r="D32" s="393">
        <v>0.47993000000000002</v>
      </c>
      <c r="E32" s="404">
        <f>+F44</f>
        <v>593880</v>
      </c>
      <c r="F32" s="396">
        <f>+D32*E32</f>
        <v>285020.8284</v>
      </c>
    </row>
    <row r="33" spans="1:6">
      <c r="A33" s="22"/>
      <c r="B33" s="390"/>
      <c r="C33" s="390"/>
      <c r="D33" s="393"/>
      <c r="E33" s="404"/>
      <c r="F33" s="396"/>
    </row>
    <row r="34" spans="1:6">
      <c r="A34" s="22">
        <v>12</v>
      </c>
      <c r="B34" s="390" t="s">
        <v>1700</v>
      </c>
      <c r="C34" s="390"/>
      <c r="D34" s="393"/>
      <c r="E34" s="404"/>
      <c r="F34" s="396"/>
    </row>
    <row r="35" spans="1:6">
      <c r="A35" s="22">
        <v>13</v>
      </c>
      <c r="B35" s="390" t="s">
        <v>886</v>
      </c>
      <c r="C35" s="390"/>
      <c r="D35" s="393">
        <v>0.47993000000000002</v>
      </c>
      <c r="E35" s="404">
        <f>+E19</f>
        <v>814309</v>
      </c>
      <c r="F35" s="396">
        <f>+D35*E35</f>
        <v>390811.31836999999</v>
      </c>
    </row>
    <row r="36" spans="1:6">
      <c r="A36" s="22"/>
      <c r="B36" s="390"/>
      <c r="C36" s="390"/>
      <c r="D36" s="393"/>
      <c r="E36" s="404"/>
      <c r="F36" s="396"/>
    </row>
    <row r="37" spans="1:6" ht="16.5" thickBot="1">
      <c r="A37" s="22">
        <v>14</v>
      </c>
      <c r="B37" s="390" t="s">
        <v>874</v>
      </c>
      <c r="C37" s="390"/>
      <c r="D37" s="390"/>
      <c r="E37" s="405">
        <f>SUM(E26:E35)</f>
        <v>20352744</v>
      </c>
      <c r="F37" s="406">
        <f>SUM(F26:F35)</f>
        <v>10051636.126770001</v>
      </c>
    </row>
    <row r="38" spans="1:6" ht="16.5" thickTop="1">
      <c r="A38" s="22">
        <v>15</v>
      </c>
      <c r="D38" s="6" t="s">
        <v>1125</v>
      </c>
      <c r="E38" s="6" t="s">
        <v>1980</v>
      </c>
      <c r="F38" s="408" t="s">
        <v>1981</v>
      </c>
    </row>
    <row r="39" spans="1:6">
      <c r="A39" s="22">
        <v>16</v>
      </c>
      <c r="D39" s="6" t="s">
        <v>1126</v>
      </c>
      <c r="E39" s="6" t="s">
        <v>1979</v>
      </c>
      <c r="F39" s="408" t="s">
        <v>1982</v>
      </c>
    </row>
    <row r="40" spans="1:6">
      <c r="A40" s="22">
        <v>17</v>
      </c>
      <c r="D40" s="6" t="s">
        <v>1979</v>
      </c>
      <c r="E40" s="6"/>
      <c r="F40" s="6" t="s">
        <v>55</v>
      </c>
    </row>
    <row r="41" spans="1:6">
      <c r="A41" s="22">
        <v>18</v>
      </c>
      <c r="D41" s="347" t="s">
        <v>1976</v>
      </c>
      <c r="E41" s="409" t="s">
        <v>1977</v>
      </c>
      <c r="F41" s="410"/>
    </row>
    <row r="42" spans="1:6">
      <c r="A42" s="22">
        <v>19</v>
      </c>
      <c r="B42" s="390" t="s">
        <v>882</v>
      </c>
      <c r="D42" s="411">
        <v>120189407</v>
      </c>
      <c r="E42" s="412">
        <f>77646605+29191639</f>
        <v>106838244</v>
      </c>
      <c r="F42" s="412">
        <f>+D42-E42</f>
        <v>13351163</v>
      </c>
    </row>
    <row r="43" spans="1:6">
      <c r="A43" s="22">
        <v>20</v>
      </c>
      <c r="B43" s="390" t="s">
        <v>884</v>
      </c>
      <c r="D43" s="411">
        <v>81344242</v>
      </c>
      <c r="E43" s="412">
        <f>55961538+19789312</f>
        <v>75750850</v>
      </c>
      <c r="F43" s="412">
        <f t="shared" ref="F43:F45" si="0">+D43-E43</f>
        <v>5593392</v>
      </c>
    </row>
    <row r="44" spans="1:6">
      <c r="A44" s="22">
        <v>21</v>
      </c>
      <c r="B44" s="390" t="s">
        <v>1695</v>
      </c>
      <c r="D44" s="411">
        <v>11417671</v>
      </c>
      <c r="E44" s="412">
        <f>1521701+4967619+4334471</f>
        <v>10823791</v>
      </c>
      <c r="F44" s="412">
        <f t="shared" si="0"/>
        <v>593880</v>
      </c>
    </row>
    <row r="45" spans="1:6">
      <c r="A45" s="22">
        <v>22</v>
      </c>
      <c r="B45" s="390" t="s">
        <v>1696</v>
      </c>
      <c r="D45" s="411">
        <v>11107096</v>
      </c>
      <c r="E45" s="412">
        <f>7195184+2872027+225576</f>
        <v>10292787</v>
      </c>
      <c r="F45" s="412">
        <f t="shared" si="0"/>
        <v>814309</v>
      </c>
    </row>
    <row r="46" spans="1:6">
      <c r="F46" s="413">
        <f>SUM(F42:F45)</f>
        <v>20352744</v>
      </c>
    </row>
    <row r="47" spans="1:6">
      <c r="D47" s="4" t="s">
        <v>50</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Name:&amp;A&amp;R&amp;"Times New Roman,Regular"&amp;9 26678.897\4829-5163-7600.v1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75"/>
  <sheetViews>
    <sheetView showGridLines="0" view="pageBreakPreview" zoomScale="60" zoomScaleNormal="100" workbookViewId="0">
      <selection activeCell="A3" sqref="A3:H3"/>
    </sheetView>
  </sheetViews>
  <sheetFormatPr defaultColWidth="9.140625" defaultRowHeight="15.75"/>
  <cols>
    <col min="1" max="1" width="9.28515625" style="6" bestFit="1" customWidth="1"/>
    <col min="2" max="2" width="35.42578125" style="4" bestFit="1" customWidth="1"/>
    <col min="3" max="3" width="32.5703125" style="4" bestFit="1" customWidth="1"/>
    <col min="4" max="5" width="14" style="4" bestFit="1" customWidth="1"/>
    <col min="6" max="6" width="14.42578125" style="4" bestFit="1" customWidth="1"/>
    <col min="7" max="7" width="5.85546875" style="4" bestFit="1" customWidth="1"/>
    <col min="8" max="16384" width="9.140625" style="4"/>
  </cols>
  <sheetData>
    <row r="1" spans="1:7">
      <c r="B1" s="1278" t="s">
        <v>53</v>
      </c>
      <c r="C1" s="1278"/>
      <c r="D1" s="1278"/>
      <c r="E1" s="1278"/>
      <c r="F1" s="1278"/>
      <c r="G1" s="1278"/>
    </row>
    <row r="2" spans="1:7">
      <c r="B2" s="25"/>
      <c r="C2" s="25" t="s">
        <v>977</v>
      </c>
      <c r="D2" s="25"/>
      <c r="E2" s="25"/>
      <c r="F2" s="25"/>
      <c r="G2" s="25"/>
    </row>
    <row r="3" spans="1:7">
      <c r="B3" s="25"/>
      <c r="C3" s="25" t="s">
        <v>1668</v>
      </c>
      <c r="D3" s="25"/>
      <c r="E3" s="25"/>
      <c r="F3" s="25"/>
      <c r="G3" s="25"/>
    </row>
    <row r="4" spans="1:7">
      <c r="B4" s="1278" t="s">
        <v>73</v>
      </c>
      <c r="C4" s="1278"/>
      <c r="D4" s="1278"/>
      <c r="E4" s="1278"/>
      <c r="F4" s="1278"/>
      <c r="G4" s="1278"/>
    </row>
    <row r="5" spans="1:7">
      <c r="B5" s="1278" t="s">
        <v>971</v>
      </c>
      <c r="C5" s="1278"/>
      <c r="D5" s="1278"/>
      <c r="E5" s="1278"/>
      <c r="F5" s="1278"/>
      <c r="G5" s="1278"/>
    </row>
    <row r="6" spans="1:7">
      <c r="B6" s="28"/>
      <c r="C6" s="28"/>
      <c r="D6" s="28"/>
      <c r="E6" s="28"/>
      <c r="F6" s="28"/>
      <c r="G6" s="28"/>
    </row>
    <row r="7" spans="1:7">
      <c r="B7" s="22" t="s">
        <v>1689</v>
      </c>
      <c r="C7" s="22" t="s">
        <v>1687</v>
      </c>
      <c r="D7" s="22" t="s">
        <v>1688</v>
      </c>
      <c r="E7" s="22" t="s">
        <v>1691</v>
      </c>
      <c r="F7" s="22" t="s">
        <v>1692</v>
      </c>
      <c r="G7" s="2" t="s">
        <v>1701</v>
      </c>
    </row>
    <row r="8" spans="1:7">
      <c r="B8" s="390"/>
      <c r="C8" s="390"/>
      <c r="D8" s="390"/>
      <c r="E8" s="1279" t="s">
        <v>1052</v>
      </c>
      <c r="F8" s="390"/>
      <c r="G8" s="390"/>
    </row>
    <row r="9" spans="1:7">
      <c r="A9" s="13" t="s">
        <v>879</v>
      </c>
      <c r="B9" s="390"/>
      <c r="C9" s="390"/>
      <c r="D9" s="22" t="s">
        <v>1051</v>
      </c>
      <c r="E9" s="1280"/>
      <c r="F9" s="22" t="s">
        <v>1053</v>
      </c>
      <c r="G9" s="390"/>
    </row>
    <row r="10" spans="1:7">
      <c r="A10" s="6">
        <v>1</v>
      </c>
      <c r="B10" s="414" t="s">
        <v>1025</v>
      </c>
      <c r="C10" s="415" t="s">
        <v>1035</v>
      </c>
      <c r="D10" s="416">
        <v>0.25</v>
      </c>
      <c r="E10" s="416"/>
      <c r="F10" s="416">
        <v>0.25</v>
      </c>
      <c r="G10" s="414">
        <v>913</v>
      </c>
    </row>
    <row r="11" spans="1:7">
      <c r="A11" s="6">
        <v>2</v>
      </c>
      <c r="B11" s="414" t="s">
        <v>1026</v>
      </c>
      <c r="C11" s="415" t="s">
        <v>1036</v>
      </c>
      <c r="D11" s="416">
        <v>20</v>
      </c>
      <c r="E11" s="416"/>
      <c r="F11" s="416">
        <v>20</v>
      </c>
      <c r="G11" s="414">
        <v>913</v>
      </c>
    </row>
    <row r="12" spans="1:7">
      <c r="A12" s="6">
        <v>3</v>
      </c>
      <c r="B12" s="414" t="s">
        <v>1027</v>
      </c>
      <c r="C12" s="415" t="s">
        <v>1037</v>
      </c>
      <c r="D12" s="416">
        <v>250</v>
      </c>
      <c r="E12" s="416"/>
      <c r="F12" s="416"/>
      <c r="G12" s="414">
        <v>913</v>
      </c>
    </row>
    <row r="13" spans="1:7">
      <c r="A13" s="6">
        <v>4</v>
      </c>
      <c r="B13" s="414" t="s">
        <v>1028</v>
      </c>
      <c r="C13" s="415" t="s">
        <v>1038</v>
      </c>
      <c r="D13" s="416">
        <v>200</v>
      </c>
      <c r="E13" s="416"/>
      <c r="F13" s="416"/>
      <c r="G13" s="414">
        <v>913</v>
      </c>
    </row>
    <row r="14" spans="1:7">
      <c r="A14" s="6">
        <v>5</v>
      </c>
      <c r="B14" s="414" t="s">
        <v>1029</v>
      </c>
      <c r="C14" s="415" t="s">
        <v>1039</v>
      </c>
      <c r="D14" s="416">
        <v>1300</v>
      </c>
      <c r="E14" s="416">
        <v>978.51</v>
      </c>
      <c r="F14" s="416"/>
      <c r="G14" s="414">
        <v>913</v>
      </c>
    </row>
    <row r="15" spans="1:7">
      <c r="A15" s="6">
        <v>6</v>
      </c>
      <c r="B15" s="414" t="s">
        <v>1030</v>
      </c>
      <c r="C15" s="415" t="s">
        <v>1040</v>
      </c>
      <c r="D15" s="416">
        <v>9.3699999999999992</v>
      </c>
      <c r="E15" s="416">
        <v>7.05</v>
      </c>
      <c r="F15" s="416"/>
      <c r="G15" s="414">
        <v>913</v>
      </c>
    </row>
    <row r="16" spans="1:7">
      <c r="A16" s="6">
        <v>7</v>
      </c>
      <c r="B16" s="414" t="s">
        <v>1031</v>
      </c>
      <c r="C16" s="415" t="s">
        <v>1041</v>
      </c>
      <c r="D16" s="416">
        <v>1.1299999999999999</v>
      </c>
      <c r="E16" s="416">
        <v>0.85</v>
      </c>
      <c r="F16" s="416"/>
      <c r="G16" s="414">
        <v>913</v>
      </c>
    </row>
    <row r="17" spans="1:7">
      <c r="A17" s="6">
        <v>8</v>
      </c>
      <c r="B17" s="414" t="s">
        <v>1032</v>
      </c>
      <c r="C17" s="415" t="s">
        <v>1042</v>
      </c>
      <c r="D17" s="416">
        <v>30.6</v>
      </c>
      <c r="E17" s="416">
        <v>23.03</v>
      </c>
      <c r="F17" s="416"/>
      <c r="G17" s="414">
        <v>913</v>
      </c>
    </row>
    <row r="18" spans="1:7">
      <c r="A18" s="6">
        <v>9</v>
      </c>
      <c r="B18" s="414" t="s">
        <v>906</v>
      </c>
      <c r="C18" s="415" t="s">
        <v>1043</v>
      </c>
      <c r="D18" s="416">
        <v>875</v>
      </c>
      <c r="E18" s="416">
        <v>658.61</v>
      </c>
      <c r="F18" s="416"/>
      <c r="G18" s="414">
        <v>913</v>
      </c>
    </row>
    <row r="19" spans="1:7">
      <c r="A19" s="6">
        <v>10</v>
      </c>
      <c r="B19" s="414" t="s">
        <v>906</v>
      </c>
      <c r="C19" s="415" t="s">
        <v>1044</v>
      </c>
      <c r="D19" s="416">
        <v>537.5</v>
      </c>
      <c r="E19" s="416">
        <v>404.58</v>
      </c>
      <c r="F19" s="416"/>
      <c r="G19" s="414">
        <v>913</v>
      </c>
    </row>
    <row r="20" spans="1:7">
      <c r="A20" s="6">
        <v>11</v>
      </c>
      <c r="B20" s="414" t="s">
        <v>901</v>
      </c>
      <c r="C20" s="415" t="s">
        <v>1045</v>
      </c>
      <c r="D20" s="416">
        <v>800</v>
      </c>
      <c r="E20" s="416">
        <v>602.16</v>
      </c>
      <c r="F20" s="416"/>
      <c r="G20" s="414">
        <v>913</v>
      </c>
    </row>
    <row r="21" spans="1:7">
      <c r="A21" s="6">
        <v>12</v>
      </c>
      <c r="B21" s="414" t="s">
        <v>1033</v>
      </c>
      <c r="C21" s="415" t="s">
        <v>1046</v>
      </c>
      <c r="D21" s="416">
        <v>537.5</v>
      </c>
      <c r="E21" s="416">
        <v>404.58</v>
      </c>
      <c r="F21" s="416"/>
      <c r="G21" s="414">
        <v>913</v>
      </c>
    </row>
    <row r="22" spans="1:7">
      <c r="A22" s="6">
        <v>13</v>
      </c>
      <c r="B22" s="414" t="s">
        <v>1034</v>
      </c>
      <c r="C22" s="415" t="s">
        <v>1047</v>
      </c>
      <c r="D22" s="416">
        <v>13.93</v>
      </c>
      <c r="E22" s="416">
        <v>10.49</v>
      </c>
      <c r="F22" s="416"/>
      <c r="G22" s="414">
        <v>913</v>
      </c>
    </row>
    <row r="23" spans="1:7">
      <c r="A23" s="6">
        <v>14</v>
      </c>
      <c r="B23" s="414" t="s">
        <v>901</v>
      </c>
      <c r="C23" s="415" t="s">
        <v>1048</v>
      </c>
      <c r="D23" s="416">
        <v>800</v>
      </c>
      <c r="E23" s="416">
        <v>602.16</v>
      </c>
      <c r="F23" s="416"/>
      <c r="G23" s="414">
        <v>913</v>
      </c>
    </row>
    <row r="24" spans="1:7">
      <c r="A24" s="6">
        <v>15</v>
      </c>
      <c r="B24" s="414" t="s">
        <v>901</v>
      </c>
      <c r="C24" s="415" t="s">
        <v>1049</v>
      </c>
      <c r="D24" s="416">
        <v>800</v>
      </c>
      <c r="E24" s="416">
        <v>602.16</v>
      </c>
      <c r="F24" s="416"/>
      <c r="G24" s="414">
        <v>913</v>
      </c>
    </row>
    <row r="25" spans="1:7">
      <c r="A25" s="6">
        <v>16</v>
      </c>
      <c r="B25" s="414" t="s">
        <v>901</v>
      </c>
      <c r="C25" s="415" t="s">
        <v>1050</v>
      </c>
      <c r="D25" s="416">
        <v>800</v>
      </c>
      <c r="E25" s="416">
        <v>602.16</v>
      </c>
      <c r="F25" s="416"/>
      <c r="G25" s="414">
        <v>913</v>
      </c>
    </row>
    <row r="26" spans="1:7">
      <c r="A26" s="6">
        <v>17</v>
      </c>
      <c r="B26" s="414"/>
      <c r="C26" s="415"/>
      <c r="D26" s="416"/>
      <c r="E26" s="416"/>
      <c r="F26" s="416"/>
      <c r="G26" s="414"/>
    </row>
    <row r="27" spans="1:7">
      <c r="B27" s="390"/>
      <c r="C27" s="390"/>
      <c r="D27" s="390"/>
      <c r="E27" s="390"/>
      <c r="F27" s="390"/>
      <c r="G27" s="390"/>
    </row>
    <row r="28" spans="1:7">
      <c r="A28" s="417">
        <v>18</v>
      </c>
      <c r="B28" s="390"/>
      <c r="C28" s="390"/>
      <c r="D28" s="390"/>
      <c r="E28" s="418">
        <f>SUM(E10:E26)</f>
        <v>4896.3399999999992</v>
      </c>
      <c r="F28" s="418">
        <f>SUM(F10:F26)</f>
        <v>20.25</v>
      </c>
      <c r="G28" s="390"/>
    </row>
    <row r="29" spans="1:7">
      <c r="A29" s="417">
        <v>19</v>
      </c>
      <c r="B29" s="390" t="s">
        <v>907</v>
      </c>
      <c r="C29" s="390"/>
      <c r="D29" s="390"/>
      <c r="E29" s="390"/>
      <c r="F29" s="418">
        <f>+F28+E28</f>
        <v>4916.5899999999992</v>
      </c>
      <c r="G29" s="390"/>
    </row>
    <row r="30" spans="1:7">
      <c r="B30" s="390"/>
      <c r="C30" s="390"/>
      <c r="D30" s="390"/>
      <c r="E30" s="390"/>
      <c r="F30" s="390"/>
      <c r="G30" s="390"/>
    </row>
    <row r="32" spans="1:7">
      <c r="B32" s="22" t="s">
        <v>1689</v>
      </c>
      <c r="C32" s="22" t="s">
        <v>1687</v>
      </c>
      <c r="D32" s="22" t="s">
        <v>1688</v>
      </c>
      <c r="E32" s="22" t="s">
        <v>1691</v>
      </c>
      <c r="F32" s="22" t="s">
        <v>1692</v>
      </c>
      <c r="G32" s="2" t="s">
        <v>1701</v>
      </c>
    </row>
    <row r="33" spans="1:7">
      <c r="A33" s="13" t="s">
        <v>879</v>
      </c>
      <c r="D33" s="22" t="s">
        <v>1051</v>
      </c>
      <c r="E33" s="22" t="s">
        <v>1052</v>
      </c>
      <c r="F33" s="22" t="s">
        <v>1053</v>
      </c>
    </row>
    <row r="34" spans="1:7">
      <c r="A34" s="6">
        <v>20</v>
      </c>
      <c r="B34" s="414" t="s">
        <v>1054</v>
      </c>
      <c r="C34" s="414" t="s">
        <v>1081</v>
      </c>
      <c r="D34" s="416">
        <v>250</v>
      </c>
      <c r="E34" s="416"/>
      <c r="F34" s="416">
        <v>250</v>
      </c>
      <c r="G34" s="414">
        <v>930.1</v>
      </c>
    </row>
    <row r="35" spans="1:7">
      <c r="A35" s="6">
        <v>21</v>
      </c>
      <c r="B35" s="414" t="s">
        <v>1055</v>
      </c>
      <c r="C35" s="414" t="s">
        <v>1082</v>
      </c>
      <c r="D35" s="416">
        <v>5000</v>
      </c>
      <c r="E35" s="416"/>
      <c r="F35" s="416">
        <v>5000</v>
      </c>
      <c r="G35" s="414">
        <v>930.1</v>
      </c>
    </row>
    <row r="36" spans="1:7">
      <c r="A36" s="6">
        <v>22</v>
      </c>
      <c r="B36" s="414" t="s">
        <v>1056</v>
      </c>
      <c r="C36" s="414" t="s">
        <v>1083</v>
      </c>
      <c r="D36" s="416">
        <v>500</v>
      </c>
      <c r="E36" s="416"/>
      <c r="F36" s="416">
        <v>500</v>
      </c>
      <c r="G36" s="414">
        <v>930.1</v>
      </c>
    </row>
    <row r="37" spans="1:7">
      <c r="A37" s="6">
        <v>23</v>
      </c>
      <c r="B37" s="414" t="s">
        <v>902</v>
      </c>
      <c r="C37" s="414" t="s">
        <v>1084</v>
      </c>
      <c r="D37" s="416">
        <v>250</v>
      </c>
      <c r="E37" s="416"/>
      <c r="F37" s="416">
        <v>250</v>
      </c>
      <c r="G37" s="414">
        <v>930.1</v>
      </c>
    </row>
    <row r="38" spans="1:7">
      <c r="A38" s="6">
        <v>24</v>
      </c>
      <c r="B38" s="414" t="s">
        <v>896</v>
      </c>
      <c r="C38" s="414" t="s">
        <v>1085</v>
      </c>
      <c r="D38" s="416">
        <v>367</v>
      </c>
      <c r="E38" s="416"/>
      <c r="F38" s="416">
        <v>367</v>
      </c>
      <c r="G38" s="414">
        <v>930.1</v>
      </c>
    </row>
    <row r="39" spans="1:7">
      <c r="A39" s="6">
        <v>25</v>
      </c>
      <c r="B39" s="414" t="s">
        <v>903</v>
      </c>
      <c r="C39" s="414" t="s">
        <v>1086</v>
      </c>
      <c r="D39" s="416">
        <v>125</v>
      </c>
      <c r="E39" s="416"/>
      <c r="F39" s="416">
        <v>125</v>
      </c>
      <c r="G39" s="414">
        <v>930.1</v>
      </c>
    </row>
    <row r="40" spans="1:7">
      <c r="A40" s="6">
        <v>26</v>
      </c>
      <c r="B40" s="414" t="s">
        <v>1057</v>
      </c>
      <c r="C40" s="414" t="s">
        <v>1087</v>
      </c>
      <c r="D40" s="416">
        <v>250</v>
      </c>
      <c r="E40" s="416"/>
      <c r="F40" s="416">
        <v>250</v>
      </c>
      <c r="G40" s="414">
        <v>930.1</v>
      </c>
    </row>
    <row r="41" spans="1:7">
      <c r="A41" s="6">
        <v>27</v>
      </c>
      <c r="B41" s="414" t="s">
        <v>898</v>
      </c>
      <c r="C41" s="414" t="s">
        <v>1088</v>
      </c>
      <c r="D41" s="416">
        <v>135</v>
      </c>
      <c r="E41" s="416"/>
      <c r="F41" s="416">
        <v>135</v>
      </c>
      <c r="G41" s="414">
        <v>930.1</v>
      </c>
    </row>
    <row r="42" spans="1:7">
      <c r="A42" s="6">
        <v>28</v>
      </c>
      <c r="B42" s="414" t="s">
        <v>1058</v>
      </c>
      <c r="C42" s="414" t="s">
        <v>1089</v>
      </c>
      <c r="D42" s="416">
        <v>1518</v>
      </c>
      <c r="E42" s="416"/>
      <c r="F42" s="416">
        <v>1518</v>
      </c>
      <c r="G42" s="414">
        <v>930.1</v>
      </c>
    </row>
    <row r="43" spans="1:7">
      <c r="A43" s="6">
        <v>29</v>
      </c>
      <c r="B43" s="414" t="s">
        <v>1059</v>
      </c>
      <c r="C43" s="414" t="s">
        <v>1090</v>
      </c>
      <c r="D43" s="416">
        <v>71</v>
      </c>
      <c r="E43" s="416"/>
      <c r="F43" s="416"/>
      <c r="G43" s="414">
        <v>930.1</v>
      </c>
    </row>
    <row r="44" spans="1:7">
      <c r="A44" s="6">
        <v>30</v>
      </c>
      <c r="B44" s="414" t="s">
        <v>1059</v>
      </c>
      <c r="C44" s="414" t="s">
        <v>1091</v>
      </c>
      <c r="D44" s="416">
        <v>71</v>
      </c>
      <c r="E44" s="416"/>
      <c r="F44" s="416"/>
      <c r="G44" s="414">
        <v>930.1</v>
      </c>
    </row>
    <row r="45" spans="1:7">
      <c r="A45" s="6">
        <v>31</v>
      </c>
      <c r="B45" s="414" t="s">
        <v>1059</v>
      </c>
      <c r="C45" s="414" t="s">
        <v>1092</v>
      </c>
      <c r="D45" s="416">
        <v>71</v>
      </c>
      <c r="E45" s="416"/>
      <c r="F45" s="416"/>
      <c r="G45" s="414">
        <v>930.1</v>
      </c>
    </row>
    <row r="46" spans="1:7">
      <c r="A46" s="6">
        <v>32</v>
      </c>
      <c r="B46" s="414" t="s">
        <v>1025</v>
      </c>
      <c r="C46" s="414" t="s">
        <v>1093</v>
      </c>
      <c r="D46" s="416">
        <v>13.9</v>
      </c>
      <c r="E46" s="416"/>
      <c r="F46" s="416"/>
      <c r="G46" s="414">
        <v>930.1</v>
      </c>
    </row>
    <row r="47" spans="1:7">
      <c r="A47" s="6">
        <v>33</v>
      </c>
      <c r="B47" s="414" t="s">
        <v>1060</v>
      </c>
      <c r="C47" s="414" t="s">
        <v>1094</v>
      </c>
      <c r="D47" s="416">
        <v>135</v>
      </c>
      <c r="E47" s="416"/>
      <c r="F47" s="416"/>
      <c r="G47" s="414">
        <v>930.1</v>
      </c>
    </row>
    <row r="48" spans="1:7">
      <c r="A48" s="6">
        <v>34</v>
      </c>
      <c r="B48" s="414" t="s">
        <v>1061</v>
      </c>
      <c r="C48" s="414" t="s">
        <v>1095</v>
      </c>
      <c r="D48" s="416">
        <v>17142.41</v>
      </c>
      <c r="E48" s="416">
        <v>12903.09</v>
      </c>
      <c r="F48" s="416"/>
      <c r="G48" s="414">
        <v>930.1</v>
      </c>
    </row>
    <row r="49" spans="1:7">
      <c r="A49" s="6">
        <v>35</v>
      </c>
      <c r="B49" s="414" t="s">
        <v>1062</v>
      </c>
      <c r="C49" s="414" t="s">
        <v>904</v>
      </c>
      <c r="D49" s="416">
        <v>883.44</v>
      </c>
      <c r="E49" s="416">
        <v>664.97</v>
      </c>
      <c r="F49" s="416"/>
      <c r="G49" s="414">
        <v>930.1</v>
      </c>
    </row>
    <row r="50" spans="1:7">
      <c r="A50" s="6">
        <v>36</v>
      </c>
      <c r="B50" s="414" t="s">
        <v>1063</v>
      </c>
      <c r="C50" s="414" t="s">
        <v>904</v>
      </c>
      <c r="D50" s="416">
        <v>263.25</v>
      </c>
      <c r="E50" s="416">
        <v>198.15</v>
      </c>
      <c r="F50" s="416"/>
      <c r="G50" s="414">
        <v>930.1</v>
      </c>
    </row>
    <row r="51" spans="1:7">
      <c r="A51" s="6">
        <v>37</v>
      </c>
      <c r="B51" s="414" t="s">
        <v>1064</v>
      </c>
      <c r="C51" s="414" t="s">
        <v>904</v>
      </c>
      <c r="D51" s="416">
        <v>1761.06</v>
      </c>
      <c r="E51" s="416">
        <v>1325.55</v>
      </c>
      <c r="F51" s="416"/>
      <c r="G51" s="414">
        <v>930.1</v>
      </c>
    </row>
    <row r="52" spans="1:7">
      <c r="A52" s="6">
        <v>38</v>
      </c>
      <c r="B52" s="414" t="s">
        <v>1065</v>
      </c>
      <c r="C52" s="414" t="s">
        <v>904</v>
      </c>
      <c r="D52" s="416">
        <v>1159.3900000000001</v>
      </c>
      <c r="E52" s="416">
        <v>872.67</v>
      </c>
      <c r="F52" s="416"/>
      <c r="G52" s="414">
        <v>930.1</v>
      </c>
    </row>
    <row r="53" spans="1:7">
      <c r="A53" s="6">
        <v>39</v>
      </c>
      <c r="B53" s="414" t="s">
        <v>1066</v>
      </c>
      <c r="C53" s="414" t="s">
        <v>1096</v>
      </c>
      <c r="D53" s="416">
        <v>136.9</v>
      </c>
      <c r="E53" s="416">
        <v>103.04</v>
      </c>
      <c r="F53" s="416"/>
      <c r="G53" s="414">
        <v>930.1</v>
      </c>
    </row>
    <row r="54" spans="1:7">
      <c r="A54" s="6">
        <v>40</v>
      </c>
      <c r="B54" s="414" t="s">
        <v>1067</v>
      </c>
      <c r="C54" s="414" t="s">
        <v>1096</v>
      </c>
      <c r="D54" s="416">
        <v>61.15</v>
      </c>
      <c r="E54" s="416">
        <v>46.03</v>
      </c>
      <c r="F54" s="416"/>
      <c r="G54" s="414">
        <v>930.1</v>
      </c>
    </row>
    <row r="55" spans="1:7">
      <c r="A55" s="6">
        <v>41</v>
      </c>
      <c r="B55" s="414" t="s">
        <v>1068</v>
      </c>
      <c r="C55" s="414" t="s">
        <v>904</v>
      </c>
      <c r="D55" s="416">
        <v>980.15</v>
      </c>
      <c r="E55" s="416">
        <v>737.76</v>
      </c>
      <c r="F55" s="416"/>
      <c r="G55" s="414">
        <v>930.1</v>
      </c>
    </row>
    <row r="56" spans="1:7">
      <c r="A56" s="6">
        <v>42</v>
      </c>
      <c r="B56" s="414" t="s">
        <v>1069</v>
      </c>
      <c r="C56" s="414" t="s">
        <v>904</v>
      </c>
      <c r="D56" s="416">
        <v>471.98</v>
      </c>
      <c r="E56" s="416">
        <v>355.26</v>
      </c>
      <c r="F56" s="416"/>
      <c r="G56" s="414">
        <v>930.1</v>
      </c>
    </row>
    <row r="57" spans="1:7">
      <c r="A57" s="6">
        <v>43</v>
      </c>
      <c r="B57" s="414" t="s">
        <v>1070</v>
      </c>
      <c r="C57" s="414" t="s">
        <v>904</v>
      </c>
      <c r="D57" s="416">
        <v>227.74</v>
      </c>
      <c r="E57" s="416">
        <v>171.42</v>
      </c>
      <c r="F57" s="416"/>
      <c r="G57" s="414">
        <v>930.1</v>
      </c>
    </row>
    <row r="58" spans="1:7">
      <c r="A58" s="6">
        <v>44</v>
      </c>
      <c r="B58" s="414" t="s">
        <v>1071</v>
      </c>
      <c r="C58" s="414" t="s">
        <v>904</v>
      </c>
      <c r="D58" s="416">
        <v>423</v>
      </c>
      <c r="E58" s="416">
        <v>318.39</v>
      </c>
      <c r="F58" s="416"/>
      <c r="G58" s="414">
        <v>930.1</v>
      </c>
    </row>
    <row r="59" spans="1:7">
      <c r="A59" s="6">
        <v>45</v>
      </c>
      <c r="B59" s="414" t="s">
        <v>1072</v>
      </c>
      <c r="C59" s="414" t="s">
        <v>904</v>
      </c>
      <c r="D59" s="416">
        <v>1327.52</v>
      </c>
      <c r="E59" s="416">
        <v>999.22</v>
      </c>
      <c r="F59" s="416"/>
      <c r="G59" s="414">
        <v>930.1</v>
      </c>
    </row>
    <row r="60" spans="1:7">
      <c r="A60" s="6">
        <v>46</v>
      </c>
      <c r="B60" s="414" t="s">
        <v>1073</v>
      </c>
      <c r="C60" s="414" t="s">
        <v>904</v>
      </c>
      <c r="D60" s="416">
        <v>1192.3699999999999</v>
      </c>
      <c r="E60" s="416">
        <v>897.5</v>
      </c>
      <c r="F60" s="416"/>
      <c r="G60" s="414">
        <v>930.1</v>
      </c>
    </row>
    <row r="61" spans="1:7">
      <c r="A61" s="6">
        <v>47</v>
      </c>
      <c r="B61" s="414" t="s">
        <v>1074</v>
      </c>
      <c r="C61" s="414" t="s">
        <v>904</v>
      </c>
      <c r="D61" s="416">
        <v>4898.2</v>
      </c>
      <c r="E61" s="416">
        <v>3686.88</v>
      </c>
      <c r="F61" s="416"/>
      <c r="G61" s="414">
        <v>930.1</v>
      </c>
    </row>
    <row r="62" spans="1:7">
      <c r="A62" s="6">
        <v>48</v>
      </c>
      <c r="B62" s="414" t="s">
        <v>1075</v>
      </c>
      <c r="C62" s="414" t="s">
        <v>904</v>
      </c>
      <c r="D62" s="416">
        <v>6137.3</v>
      </c>
      <c r="E62" s="416">
        <v>4619.55</v>
      </c>
      <c r="F62" s="416"/>
      <c r="G62" s="414">
        <v>930.1</v>
      </c>
    </row>
    <row r="63" spans="1:7">
      <c r="A63" s="6">
        <v>49</v>
      </c>
      <c r="B63" s="414" t="s">
        <v>905</v>
      </c>
      <c r="C63" s="414">
        <v>6540</v>
      </c>
      <c r="D63" s="416">
        <v>13875</v>
      </c>
      <c r="E63" s="416">
        <v>10443.709999999999</v>
      </c>
      <c r="F63" s="416"/>
      <c r="G63" s="414">
        <v>930.1</v>
      </c>
    </row>
    <row r="64" spans="1:7">
      <c r="A64" s="6">
        <v>50</v>
      </c>
      <c r="B64" s="414" t="s">
        <v>905</v>
      </c>
      <c r="C64" s="414" t="s">
        <v>1097</v>
      </c>
      <c r="D64" s="416">
        <v>500</v>
      </c>
      <c r="E64" s="416">
        <v>376.35</v>
      </c>
      <c r="F64" s="416"/>
      <c r="G64" s="414">
        <v>930.1</v>
      </c>
    </row>
    <row r="65" spans="1:7">
      <c r="A65" s="6">
        <v>51</v>
      </c>
      <c r="B65" s="414" t="s">
        <v>900</v>
      </c>
      <c r="C65" s="414" t="s">
        <v>1098</v>
      </c>
      <c r="D65" s="416">
        <v>1500</v>
      </c>
      <c r="E65" s="416">
        <v>1129.05</v>
      </c>
      <c r="F65" s="416"/>
      <c r="G65" s="414">
        <v>930.1</v>
      </c>
    </row>
    <row r="66" spans="1:7">
      <c r="A66" s="6">
        <v>52</v>
      </c>
      <c r="B66" s="414" t="s">
        <v>1076</v>
      </c>
      <c r="C66" s="414" t="s">
        <v>1099</v>
      </c>
      <c r="D66" s="416">
        <v>109.67</v>
      </c>
      <c r="E66" s="416">
        <v>82.55</v>
      </c>
      <c r="F66" s="416"/>
      <c r="G66" s="414">
        <v>930.1</v>
      </c>
    </row>
    <row r="67" spans="1:7">
      <c r="A67" s="6">
        <v>53</v>
      </c>
      <c r="B67" s="414" t="s">
        <v>1077</v>
      </c>
      <c r="C67" s="414" t="s">
        <v>1100</v>
      </c>
      <c r="D67" s="416">
        <v>120.85</v>
      </c>
      <c r="E67" s="416">
        <v>90.96</v>
      </c>
      <c r="F67" s="416"/>
      <c r="G67" s="414">
        <v>930.1</v>
      </c>
    </row>
    <row r="68" spans="1:7">
      <c r="A68" s="6">
        <v>54</v>
      </c>
      <c r="B68" s="414" t="s">
        <v>1078</v>
      </c>
      <c r="C68" s="414" t="s">
        <v>897</v>
      </c>
      <c r="D68" s="416">
        <v>650</v>
      </c>
      <c r="E68" s="416">
        <v>489.26</v>
      </c>
      <c r="F68" s="416"/>
      <c r="G68" s="414">
        <v>930.1</v>
      </c>
    </row>
    <row r="69" spans="1:7">
      <c r="A69" s="6">
        <v>55</v>
      </c>
      <c r="B69" s="414" t="s">
        <v>1079</v>
      </c>
      <c r="C69" s="414" t="s">
        <v>1101</v>
      </c>
      <c r="D69" s="416">
        <v>42.5</v>
      </c>
      <c r="E69" s="416">
        <v>31.99</v>
      </c>
      <c r="F69" s="416"/>
      <c r="G69" s="414">
        <v>930.1</v>
      </c>
    </row>
    <row r="70" spans="1:7">
      <c r="A70" s="6">
        <v>56</v>
      </c>
      <c r="B70" s="414" t="s">
        <v>1080</v>
      </c>
      <c r="C70" s="414" t="s">
        <v>899</v>
      </c>
      <c r="D70" s="416">
        <v>1133.3399999999999</v>
      </c>
      <c r="E70" s="416">
        <v>853.07</v>
      </c>
      <c r="F70" s="416"/>
      <c r="G70" s="414">
        <v>930.1</v>
      </c>
    </row>
    <row r="71" spans="1:7">
      <c r="A71" s="6">
        <v>57</v>
      </c>
      <c r="B71" s="414" t="s">
        <v>1080</v>
      </c>
      <c r="C71" s="414" t="s">
        <v>1102</v>
      </c>
      <c r="D71" s="416">
        <v>12</v>
      </c>
      <c r="E71" s="416">
        <v>9.0299999999999994</v>
      </c>
      <c r="F71" s="416"/>
      <c r="G71" s="414">
        <v>930.1</v>
      </c>
    </row>
    <row r="72" spans="1:7">
      <c r="A72" s="6">
        <v>58</v>
      </c>
      <c r="B72" s="414"/>
      <c r="C72" s="414"/>
      <c r="D72" s="416"/>
      <c r="E72" s="416"/>
      <c r="F72" s="416"/>
      <c r="G72" s="414"/>
    </row>
    <row r="74" spans="1:7">
      <c r="A74" s="417">
        <v>59</v>
      </c>
      <c r="E74" s="35">
        <f>SUM(E34:E72)</f>
        <v>41405.449999999997</v>
      </c>
      <c r="F74" s="35">
        <f>SUM(F34:F72)</f>
        <v>8395</v>
      </c>
    </row>
    <row r="75" spans="1:7">
      <c r="A75" s="417">
        <v>60</v>
      </c>
      <c r="B75" s="4" t="s">
        <v>908</v>
      </c>
      <c r="F75" s="35">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Name:&amp;A&amp;R&amp;"Times New Roman,Regular"&amp;9 26678.897\4829-5163-7600.v1</oddFooter>
  </headerFooter>
  <rowBreaks count="1" manualBreakCount="1">
    <brk id="3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58"/>
  <sheetViews>
    <sheetView view="pageBreakPreview" zoomScale="60" zoomScaleNormal="85" workbookViewId="0">
      <selection activeCell="A3" sqref="A3:M3"/>
    </sheetView>
  </sheetViews>
  <sheetFormatPr defaultColWidth="9.140625" defaultRowHeight="15.75"/>
  <cols>
    <col min="1" max="1" width="9.28515625" style="4" bestFit="1" customWidth="1"/>
    <col min="2" max="2" width="9.42578125" style="4" customWidth="1"/>
    <col min="3" max="3" width="27.28515625" style="4" customWidth="1"/>
    <col min="4" max="4" width="16.5703125" style="4" bestFit="1" customWidth="1"/>
    <col min="5" max="5" width="3" style="4" customWidth="1"/>
    <col min="6" max="6" width="16.7109375" style="4" bestFit="1" customWidth="1"/>
    <col min="7" max="7" width="3.140625" style="4" customWidth="1"/>
    <col min="8" max="8" width="23.5703125" style="4" customWidth="1"/>
    <col min="9" max="9" width="17.7109375" style="4" customWidth="1"/>
    <col min="10" max="10" width="19" style="4" bestFit="1" customWidth="1"/>
    <col min="11" max="11" width="3" style="4" customWidth="1"/>
    <col min="12" max="12" width="17.28515625" style="4" bestFit="1" customWidth="1"/>
    <col min="13" max="13" width="19.42578125" style="4" bestFit="1" customWidth="1"/>
    <col min="14" max="14" width="9.140625" style="4"/>
    <col min="15" max="15" width="11.28515625" style="4" bestFit="1" customWidth="1"/>
    <col min="16" max="16" width="3.85546875" style="4" customWidth="1"/>
    <col min="17" max="17" width="9.140625" style="4"/>
    <col min="18" max="18" width="4.5703125" style="4" customWidth="1"/>
    <col min="19" max="19" width="10" style="4" bestFit="1" customWidth="1"/>
    <col min="20" max="20" width="9.140625" style="4"/>
    <col min="21" max="21" width="16.28515625" style="4" bestFit="1" customWidth="1"/>
    <col min="22" max="22" width="9.140625" style="4"/>
    <col min="23" max="23" width="19.42578125" style="4" bestFit="1" customWidth="1"/>
    <col min="24" max="16384" width="9.140625" style="4"/>
  </cols>
  <sheetData>
    <row r="1" spans="1:13">
      <c r="B1" s="1277"/>
      <c r="C1" s="1277"/>
      <c r="D1" s="1277"/>
      <c r="E1" s="1277"/>
      <c r="F1" s="1277"/>
      <c r="G1" s="1277"/>
      <c r="H1" s="1277"/>
    </row>
    <row r="2" spans="1:13">
      <c r="B2" s="1244" t="s">
        <v>53</v>
      </c>
      <c r="C2" s="1244"/>
      <c r="D2" s="1244"/>
      <c r="E2" s="1244"/>
      <c r="F2" s="1244"/>
      <c r="G2" s="1244"/>
      <c r="H2" s="1244"/>
      <c r="I2" s="1244"/>
      <c r="J2" s="1244"/>
      <c r="K2" s="1244"/>
      <c r="L2" s="1244"/>
      <c r="M2" s="1244"/>
    </row>
    <row r="3" spans="1:13">
      <c r="B3" s="1244" t="s">
        <v>1659</v>
      </c>
      <c r="C3" s="1244"/>
      <c r="D3" s="1244"/>
      <c r="E3" s="1244"/>
      <c r="F3" s="1244"/>
      <c r="G3" s="1244"/>
      <c r="H3" s="1244"/>
      <c r="I3" s="1244"/>
      <c r="J3" s="1244"/>
      <c r="K3" s="1244"/>
      <c r="L3" s="1244"/>
      <c r="M3" s="1244"/>
    </row>
    <row r="4" spans="1:13">
      <c r="B4" s="1244" t="s">
        <v>1669</v>
      </c>
      <c r="C4" s="1244"/>
      <c r="D4" s="1244"/>
      <c r="E4" s="1244"/>
      <c r="F4" s="1244"/>
      <c r="G4" s="1244"/>
      <c r="H4" s="1244"/>
      <c r="I4" s="1244"/>
      <c r="J4" s="1244"/>
      <c r="K4" s="1244"/>
      <c r="L4" s="1244"/>
      <c r="M4" s="1244"/>
    </row>
    <row r="5" spans="1:13">
      <c r="B5" s="1244" t="s">
        <v>1677</v>
      </c>
      <c r="C5" s="1244"/>
      <c r="D5" s="1244"/>
      <c r="E5" s="1244"/>
      <c r="F5" s="1244"/>
      <c r="G5" s="1244"/>
      <c r="H5" s="1244"/>
      <c r="I5" s="1244"/>
      <c r="J5" s="1244"/>
      <c r="K5" s="1244"/>
      <c r="L5" s="1244"/>
      <c r="M5" s="1244"/>
    </row>
    <row r="6" spans="1:13">
      <c r="B6" s="1244" t="s">
        <v>971</v>
      </c>
      <c r="C6" s="1244"/>
      <c r="D6" s="1244"/>
      <c r="E6" s="1244"/>
      <c r="F6" s="1244"/>
      <c r="G6" s="1244"/>
      <c r="H6" s="1244"/>
      <c r="I6" s="1244"/>
      <c r="J6" s="1244"/>
      <c r="K6" s="1244"/>
      <c r="L6" s="1244"/>
      <c r="M6" s="1244"/>
    </row>
    <row r="7" spans="1:13">
      <c r="D7" s="26"/>
    </row>
    <row r="8" spans="1:13" s="6" customFormat="1">
      <c r="B8" s="6" t="s">
        <v>1689</v>
      </c>
      <c r="C8" s="6" t="s">
        <v>1687</v>
      </c>
      <c r="D8" s="6" t="s">
        <v>1688</v>
      </c>
      <c r="F8" s="6" t="s">
        <v>1691</v>
      </c>
      <c r="H8" s="6" t="s">
        <v>1692</v>
      </c>
      <c r="I8" s="6" t="s">
        <v>1701</v>
      </c>
      <c r="J8" s="419" t="s">
        <v>1702</v>
      </c>
      <c r="L8" s="6" t="s">
        <v>1703</v>
      </c>
      <c r="M8" s="6" t="s">
        <v>1704</v>
      </c>
    </row>
    <row r="9" spans="1:13">
      <c r="A9" s="420" t="s">
        <v>1166</v>
      </c>
      <c r="D9" s="26"/>
    </row>
    <row r="10" spans="1:13">
      <c r="A10" s="420"/>
      <c r="D10" s="6" t="s">
        <v>1125</v>
      </c>
    </row>
    <row r="11" spans="1:13">
      <c r="A11" s="420"/>
      <c r="D11" s="6" t="s">
        <v>1126</v>
      </c>
      <c r="F11" s="6" t="s">
        <v>885</v>
      </c>
      <c r="H11" s="421" t="s">
        <v>885</v>
      </c>
    </row>
    <row r="12" spans="1:13">
      <c r="A12" s="13" t="s">
        <v>879</v>
      </c>
      <c r="D12" s="21" t="s">
        <v>880</v>
      </c>
      <c r="F12" s="6" t="s">
        <v>1352</v>
      </c>
      <c r="H12" s="421" t="s">
        <v>956</v>
      </c>
    </row>
    <row r="13" spans="1:13">
      <c r="A13" s="6">
        <v>1</v>
      </c>
      <c r="B13" s="6">
        <v>503</v>
      </c>
      <c r="C13" s="4" t="s">
        <v>2029</v>
      </c>
      <c r="D13" s="422">
        <v>120189407</v>
      </c>
      <c r="F13" s="43">
        <v>0.49569000000000002</v>
      </c>
      <c r="H13" s="423">
        <f>+D13*F13</f>
        <v>59576687.155830003</v>
      </c>
    </row>
    <row r="14" spans="1:13">
      <c r="A14" s="6"/>
      <c r="B14" s="6"/>
      <c r="D14" s="422"/>
      <c r="F14" s="43"/>
      <c r="H14" s="423"/>
    </row>
    <row r="15" spans="1:13">
      <c r="A15" s="6">
        <v>2</v>
      </c>
      <c r="B15" s="6">
        <v>504</v>
      </c>
      <c r="C15" s="4" t="s">
        <v>2030</v>
      </c>
      <c r="D15" s="422">
        <v>81344242</v>
      </c>
      <c r="F15" s="43">
        <v>0.49303999999999998</v>
      </c>
      <c r="H15" s="423">
        <f>+D15*F15</f>
        <v>40105965.075679995</v>
      </c>
    </row>
    <row r="16" spans="1:13">
      <c r="A16" s="6"/>
      <c r="B16" s="6"/>
      <c r="D16" s="422"/>
      <c r="F16" s="43"/>
      <c r="H16" s="423"/>
    </row>
    <row r="17" spans="1:13">
      <c r="A17" s="6">
        <v>3</v>
      </c>
      <c r="B17" s="6">
        <v>505</v>
      </c>
      <c r="C17" s="4" t="s">
        <v>2031</v>
      </c>
      <c r="D17" s="422">
        <v>11417671</v>
      </c>
      <c r="F17" s="43">
        <v>0.47993000000000002</v>
      </c>
      <c r="H17" s="423">
        <f>+D17*F17</f>
        <v>5479682.8430300001</v>
      </c>
    </row>
    <row r="18" spans="1:13">
      <c r="A18" s="6"/>
      <c r="B18" s="6"/>
      <c r="D18" s="422"/>
      <c r="F18" s="43"/>
      <c r="H18" s="423"/>
    </row>
    <row r="19" spans="1:13">
      <c r="A19" s="6">
        <v>4</v>
      </c>
      <c r="B19" s="6">
        <v>511</v>
      </c>
      <c r="C19" s="4" t="s">
        <v>2032</v>
      </c>
      <c r="D19" s="422">
        <v>11107096</v>
      </c>
      <c r="F19" s="43">
        <v>0.47993000000000002</v>
      </c>
      <c r="H19" s="423">
        <f>+D19*F19</f>
        <v>5330628.5832799999</v>
      </c>
    </row>
    <row r="20" spans="1:13">
      <c r="A20" s="6"/>
      <c r="B20" s="6"/>
      <c r="D20" s="422"/>
      <c r="F20" s="43"/>
      <c r="H20" s="423"/>
    </row>
    <row r="21" spans="1:13">
      <c r="A21" s="6">
        <v>5</v>
      </c>
      <c r="B21" s="6">
        <v>570</v>
      </c>
      <c r="C21" s="4" t="s">
        <v>2033</v>
      </c>
      <c r="D21" s="422">
        <v>3848935</v>
      </c>
      <c r="F21" s="43">
        <v>0.46687000000000001</v>
      </c>
      <c r="H21" s="424">
        <f>+D21*F21</f>
        <v>1796952.28345</v>
      </c>
    </row>
    <row r="22" spans="1:13">
      <c r="A22" s="6"/>
      <c r="B22" s="6"/>
      <c r="D22" s="26"/>
      <c r="H22" s="88"/>
    </row>
    <row r="23" spans="1:13">
      <c r="A23" s="6">
        <v>6</v>
      </c>
      <c r="B23" s="4" t="s">
        <v>1964</v>
      </c>
      <c r="D23" s="26"/>
      <c r="H23" s="88">
        <f>SUM(H13:H22)</f>
        <v>112289915.94126999</v>
      </c>
    </row>
    <row r="24" spans="1:13">
      <c r="A24" s="6"/>
      <c r="G24" s="425"/>
      <c r="H24" s="425"/>
      <c r="I24" s="425"/>
    </row>
    <row r="25" spans="1:13">
      <c r="A25" s="6"/>
      <c r="B25" s="4" t="s">
        <v>1128</v>
      </c>
      <c r="G25" s="425"/>
      <c r="H25" s="425"/>
      <c r="I25" s="425"/>
      <c r="M25" s="419" t="s">
        <v>956</v>
      </c>
    </row>
    <row r="26" spans="1:13">
      <c r="A26" s="6">
        <v>7</v>
      </c>
      <c r="C26" s="4" t="s">
        <v>2023</v>
      </c>
      <c r="G26" s="425"/>
      <c r="H26" s="425"/>
      <c r="I26" s="425"/>
      <c r="J26" s="34">
        <v>110133416.64</v>
      </c>
      <c r="M26" s="419" t="s">
        <v>55</v>
      </c>
    </row>
    <row r="27" spans="1:13">
      <c r="A27" s="6">
        <v>8</v>
      </c>
      <c r="C27" s="4" t="s">
        <v>2024</v>
      </c>
      <c r="G27" s="425"/>
      <c r="H27" s="425"/>
      <c r="I27" s="425"/>
      <c r="J27" s="34">
        <f>+'Weather Normalization'!F21-'Weather Normalization'!H21</f>
        <v>10051636.126770001</v>
      </c>
      <c r="M27" s="88"/>
    </row>
    <row r="28" spans="1:13">
      <c r="A28" s="6">
        <v>9</v>
      </c>
      <c r="C28" s="4" t="s">
        <v>1965</v>
      </c>
      <c r="G28" s="425"/>
      <c r="I28" s="426" t="s">
        <v>11</v>
      </c>
      <c r="J28" s="34">
        <v>488031.55000002589</v>
      </c>
      <c r="L28" s="88">
        <f>+J28+J27+J26</f>
        <v>120673084.31677003</v>
      </c>
      <c r="M28" s="427">
        <f>+H23-L28</f>
        <v>-8383168.3755000383</v>
      </c>
    </row>
    <row r="29" spans="1:13">
      <c r="A29" s="6">
        <v>10</v>
      </c>
      <c r="C29" s="4" t="s">
        <v>2034</v>
      </c>
      <c r="G29" s="425"/>
      <c r="I29" s="426" t="s">
        <v>1587</v>
      </c>
      <c r="J29" s="34">
        <v>346008.79999999795</v>
      </c>
      <c r="L29" s="88">
        <f>J29</f>
        <v>346008.79999999795</v>
      </c>
      <c r="M29" s="428">
        <f>-L29</f>
        <v>-346008.79999999795</v>
      </c>
    </row>
    <row r="30" spans="1:13">
      <c r="A30" s="420" t="s">
        <v>1165</v>
      </c>
      <c r="G30" s="425"/>
      <c r="H30" s="425"/>
      <c r="I30" s="425"/>
      <c r="J30" s="34"/>
      <c r="L30" s="88"/>
      <c r="M30" s="88"/>
    </row>
    <row r="32" spans="1:13">
      <c r="B32" s="6" t="s">
        <v>1122</v>
      </c>
      <c r="C32" s="6"/>
      <c r="D32" s="6" t="s">
        <v>1125</v>
      </c>
      <c r="E32" s="6"/>
      <c r="F32" s="6" t="s">
        <v>1123</v>
      </c>
      <c r="G32" s="6"/>
      <c r="H32" s="6" t="s">
        <v>1124</v>
      </c>
      <c r="I32" s="6"/>
      <c r="J32" s="6" t="s">
        <v>52</v>
      </c>
      <c r="K32" s="6"/>
      <c r="L32" s="6" t="s">
        <v>970</v>
      </c>
    </row>
    <row r="33" spans="1:13">
      <c r="B33" s="6"/>
      <c r="D33" s="6" t="s">
        <v>1126</v>
      </c>
      <c r="F33" s="6" t="s">
        <v>1127</v>
      </c>
      <c r="G33" s="6"/>
      <c r="H33" s="6" t="s">
        <v>1127</v>
      </c>
      <c r="J33" s="6" t="s">
        <v>2035</v>
      </c>
    </row>
    <row r="34" spans="1:13">
      <c r="B34" s="6"/>
      <c r="D34" s="6" t="s">
        <v>880</v>
      </c>
      <c r="J34" s="6" t="s">
        <v>2036</v>
      </c>
    </row>
    <row r="35" spans="1:13">
      <c r="A35" s="13" t="s">
        <v>879</v>
      </c>
      <c r="B35" s="6"/>
      <c r="D35" s="26"/>
      <c r="L35" s="88"/>
    </row>
    <row r="36" spans="1:13">
      <c r="A36" s="6">
        <v>11</v>
      </c>
      <c r="B36" s="6">
        <v>503</v>
      </c>
      <c r="D36" s="422">
        <v>120189407</v>
      </c>
      <c r="F36" s="43">
        <v>0.30640000000000001</v>
      </c>
      <c r="H36" s="4">
        <v>0.16864000000000001</v>
      </c>
      <c r="J36" s="43">
        <f>+F36+H36</f>
        <v>0.47504000000000002</v>
      </c>
      <c r="L36" s="423">
        <f>+D36*J36</f>
        <v>57094775.901280001</v>
      </c>
    </row>
    <row r="37" spans="1:13">
      <c r="A37" s="6"/>
      <c r="B37" s="6"/>
      <c r="D37" s="422"/>
      <c r="F37" s="43"/>
      <c r="J37" s="43"/>
      <c r="L37" s="423"/>
    </row>
    <row r="38" spans="1:13">
      <c r="A38" s="6">
        <v>12</v>
      </c>
      <c r="B38" s="6">
        <v>504</v>
      </c>
      <c r="D38" s="422">
        <v>81344242</v>
      </c>
      <c r="F38" s="43">
        <v>0.30640000000000001</v>
      </c>
      <c r="H38" s="43">
        <v>0.1661</v>
      </c>
      <c r="J38" s="43">
        <f t="shared" ref="J38:J44" si="0">+F38+H38</f>
        <v>0.47250000000000003</v>
      </c>
      <c r="L38" s="423">
        <f t="shared" ref="L38:L44" si="1">+D38*J38</f>
        <v>38435154.344999999</v>
      </c>
    </row>
    <row r="39" spans="1:13">
      <c r="A39" s="6"/>
      <c r="B39" s="6"/>
      <c r="D39" s="422"/>
      <c r="F39" s="43"/>
      <c r="J39" s="43"/>
      <c r="L39" s="423"/>
    </row>
    <row r="40" spans="1:13">
      <c r="A40" s="6">
        <v>13</v>
      </c>
      <c r="B40" s="6">
        <v>505</v>
      </c>
      <c r="D40" s="422">
        <v>11417671</v>
      </c>
      <c r="F40" s="43">
        <v>0.30640000000000001</v>
      </c>
      <c r="H40" s="4">
        <v>0.15354999999999999</v>
      </c>
      <c r="J40" s="43">
        <f t="shared" si="0"/>
        <v>0.45994999999999997</v>
      </c>
      <c r="L40" s="423">
        <f t="shared" si="1"/>
        <v>5251557.7764499998</v>
      </c>
    </row>
    <row r="41" spans="1:13">
      <c r="A41" s="6"/>
      <c r="B41" s="6"/>
      <c r="D41" s="422"/>
      <c r="F41" s="43"/>
      <c r="J41" s="43"/>
      <c r="L41" s="423"/>
    </row>
    <row r="42" spans="1:13">
      <c r="A42" s="6">
        <v>14</v>
      </c>
      <c r="B42" s="6">
        <v>511</v>
      </c>
      <c r="D42" s="422">
        <v>11107096</v>
      </c>
      <c r="F42" s="43">
        <v>0.30640000000000001</v>
      </c>
      <c r="H42" s="4">
        <v>0.15354999999999999</v>
      </c>
      <c r="J42" s="43">
        <f t="shared" si="0"/>
        <v>0.45994999999999997</v>
      </c>
      <c r="L42" s="423">
        <f t="shared" si="1"/>
        <v>5108708.8051999994</v>
      </c>
    </row>
    <row r="43" spans="1:13">
      <c r="A43" s="6"/>
      <c r="B43" s="6"/>
      <c r="D43" s="422"/>
      <c r="F43" s="43"/>
      <c r="J43" s="43"/>
      <c r="L43" s="423"/>
    </row>
    <row r="44" spans="1:13">
      <c r="A44" s="6">
        <v>15</v>
      </c>
      <c r="B44" s="6">
        <v>570</v>
      </c>
      <c r="D44" s="422">
        <v>3848935</v>
      </c>
      <c r="F44" s="43">
        <v>0.30640000000000001</v>
      </c>
      <c r="H44" s="4">
        <v>0.14105000000000001</v>
      </c>
      <c r="J44" s="43">
        <f t="shared" si="0"/>
        <v>0.44745000000000001</v>
      </c>
      <c r="L44" s="424">
        <f t="shared" si="1"/>
        <v>1722205.96575</v>
      </c>
    </row>
    <row r="45" spans="1:13">
      <c r="A45" s="6"/>
      <c r="B45" s="6"/>
      <c r="D45" s="26"/>
      <c r="M45" s="6" t="s">
        <v>885</v>
      </c>
    </row>
    <row r="46" spans="1:13">
      <c r="A46" s="6">
        <v>16</v>
      </c>
      <c r="B46" s="4" t="s">
        <v>1963</v>
      </c>
      <c r="L46" s="88">
        <f>SUM(L36:L44)</f>
        <v>107612402.79367998</v>
      </c>
      <c r="M46" s="6" t="s">
        <v>55</v>
      </c>
    </row>
    <row r="47" spans="1:13">
      <c r="A47" s="6"/>
    </row>
    <row r="48" spans="1:13">
      <c r="A48" s="6">
        <v>17</v>
      </c>
      <c r="B48" s="4" t="s">
        <v>1961</v>
      </c>
      <c r="L48" s="88">
        <f>+'2) ROO Summary Sheet'!D16+'Weather Normalization'!F37</f>
        <v>113645500.64677002</v>
      </c>
      <c r="M48" s="429">
        <f>+L46-L48</f>
        <v>-6033097.8530900329</v>
      </c>
    </row>
    <row r="49" spans="3:13">
      <c r="C49" s="4" t="s">
        <v>1962</v>
      </c>
    </row>
    <row r="50" spans="3:13">
      <c r="L50" s="88"/>
      <c r="M50" s="88"/>
    </row>
    <row r="52" spans="3:13">
      <c r="L52" s="88"/>
      <c r="M52" s="88"/>
    </row>
    <row r="53" spans="3:13">
      <c r="J53" s="34"/>
      <c r="L53" s="88"/>
    </row>
    <row r="54" spans="3:13">
      <c r="L54" s="88"/>
    </row>
    <row r="55" spans="3:13">
      <c r="L55" s="88"/>
    </row>
    <row r="57" spans="3:13">
      <c r="J57" s="34"/>
      <c r="L57" s="88"/>
      <c r="M57" s="88"/>
    </row>
    <row r="58" spans="3:13">
      <c r="J58" s="34"/>
      <c r="L58" s="88"/>
      <c r="M58" s="278"/>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Name:&amp;A&amp;R&amp;"Times New Roman,Regular"&amp;9 26678.897\4829-5163-7600.v1</oddFooter>
  </headerFooter>
  <rowBreaks count="1" manualBreakCount="1">
    <brk id="2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1"/>
  <sheetViews>
    <sheetView zoomScaleNormal="100" workbookViewId="0">
      <selection activeCell="A3" sqref="A3:I3"/>
    </sheetView>
  </sheetViews>
  <sheetFormatPr defaultColWidth="9.140625" defaultRowHeight="15.75"/>
  <cols>
    <col min="1" max="5" width="9.140625" style="4"/>
    <col min="6" max="6" width="20.7109375" style="4" customWidth="1"/>
    <col min="7" max="16384" width="9.140625" style="4"/>
  </cols>
  <sheetData>
    <row r="1" spans="1:11">
      <c r="A1" s="1244" t="s">
        <v>53</v>
      </c>
      <c r="B1" s="1244"/>
      <c r="C1" s="1244"/>
      <c r="D1" s="1244"/>
      <c r="E1" s="1244"/>
      <c r="F1" s="1244"/>
      <c r="G1" s="1244"/>
      <c r="H1" s="1244"/>
      <c r="I1" s="1244"/>
      <c r="J1" s="3"/>
      <c r="K1" s="3"/>
    </row>
    <row r="2" spans="1:11">
      <c r="A2" s="1244" t="s">
        <v>1659</v>
      </c>
      <c r="B2" s="1244"/>
      <c r="C2" s="1244"/>
      <c r="D2" s="1244"/>
      <c r="E2" s="1244"/>
      <c r="F2" s="1244"/>
      <c r="G2" s="1244"/>
      <c r="H2" s="1244"/>
      <c r="I2" s="1244"/>
      <c r="J2" s="3"/>
      <c r="K2" s="3"/>
    </row>
    <row r="3" spans="1:11">
      <c r="A3" s="1244" t="s">
        <v>1670</v>
      </c>
      <c r="B3" s="1244"/>
      <c r="C3" s="1244"/>
      <c r="D3" s="1244"/>
      <c r="E3" s="1244"/>
      <c r="F3" s="1244"/>
      <c r="G3" s="1244"/>
      <c r="H3" s="1244"/>
      <c r="I3" s="1244"/>
      <c r="J3" s="3"/>
      <c r="K3" s="3"/>
    </row>
    <row r="4" spans="1:11">
      <c r="A4" s="1244" t="s">
        <v>1112</v>
      </c>
      <c r="B4" s="1244"/>
      <c r="C4" s="1244"/>
      <c r="D4" s="1244"/>
      <c r="E4" s="1244"/>
      <c r="F4" s="1244"/>
      <c r="G4" s="1244"/>
      <c r="H4" s="1244"/>
      <c r="I4" s="1244"/>
      <c r="J4" s="3"/>
      <c r="K4" s="3"/>
    </row>
    <row r="5" spans="1:11">
      <c r="A5" s="1244" t="s">
        <v>971</v>
      </c>
      <c r="B5" s="1244"/>
      <c r="C5" s="1244"/>
      <c r="D5" s="1244"/>
      <c r="E5" s="1244"/>
      <c r="F5" s="1244"/>
      <c r="G5" s="1244"/>
      <c r="H5" s="1244"/>
      <c r="I5" s="1244"/>
      <c r="J5" s="3"/>
      <c r="K5" s="3"/>
    </row>
    <row r="8" spans="1:11">
      <c r="A8" s="430" t="s">
        <v>1113</v>
      </c>
      <c r="B8" s="26"/>
      <c r="C8" s="26"/>
      <c r="D8" s="26"/>
      <c r="E8" s="26"/>
      <c r="F8" s="26"/>
      <c r="G8" s="26"/>
      <c r="H8" s="26"/>
      <c r="I8" s="26"/>
      <c r="J8" s="26"/>
      <c r="K8" s="26"/>
    </row>
    <row r="10" spans="1:11">
      <c r="D10" s="6" t="s">
        <v>879</v>
      </c>
      <c r="E10" s="6" t="s">
        <v>1689</v>
      </c>
      <c r="F10" s="6" t="s">
        <v>1687</v>
      </c>
    </row>
    <row r="11" spans="1:11" ht="63">
      <c r="D11" s="6"/>
      <c r="E11" s="431" t="s">
        <v>1684</v>
      </c>
      <c r="F11" s="432" t="s">
        <v>1935</v>
      </c>
    </row>
    <row r="12" spans="1:11">
      <c r="D12" s="6">
        <v>1</v>
      </c>
      <c r="E12" s="6" t="s">
        <v>1114</v>
      </c>
      <c r="F12" s="412">
        <v>66666.67</v>
      </c>
    </row>
    <row r="13" spans="1:11">
      <c r="D13" s="6">
        <v>2</v>
      </c>
      <c r="E13" s="6" t="s">
        <v>1115</v>
      </c>
      <c r="F13" s="412">
        <v>66666.67</v>
      </c>
    </row>
    <row r="14" spans="1:11">
      <c r="D14" s="6">
        <v>3</v>
      </c>
      <c r="E14" s="6" t="s">
        <v>1116</v>
      </c>
      <c r="F14" s="412">
        <v>66666.67</v>
      </c>
    </row>
    <row r="15" spans="1:11">
      <c r="D15" s="6">
        <v>4</v>
      </c>
      <c r="E15" s="6" t="s">
        <v>1117</v>
      </c>
      <c r="F15" s="412">
        <v>66666.67</v>
      </c>
    </row>
    <row r="16" spans="1:11">
      <c r="D16" s="6">
        <v>5</v>
      </c>
      <c r="E16" s="6" t="s">
        <v>1118</v>
      </c>
      <c r="F16" s="412">
        <v>66666.67</v>
      </c>
    </row>
    <row r="17" spans="3:6">
      <c r="D17" s="6">
        <v>6</v>
      </c>
      <c r="E17" s="6" t="s">
        <v>1119</v>
      </c>
      <c r="F17" s="412">
        <v>66666.67</v>
      </c>
    </row>
    <row r="18" spans="3:6">
      <c r="D18" s="6">
        <v>7</v>
      </c>
      <c r="E18" s="6" t="s">
        <v>1120</v>
      </c>
      <c r="F18" s="412">
        <v>66666.67</v>
      </c>
    </row>
    <row r="19" spans="3:6">
      <c r="C19" s="337"/>
      <c r="D19" s="6">
        <v>8</v>
      </c>
      <c r="E19" s="6" t="s">
        <v>1121</v>
      </c>
      <c r="F19" s="412">
        <v>66666.67</v>
      </c>
    </row>
    <row r="20" spans="3:6" ht="16.5" thickBot="1">
      <c r="D20" s="6">
        <v>9</v>
      </c>
      <c r="E20" s="6" t="s">
        <v>52</v>
      </c>
      <c r="F20" s="714">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Name:&amp;A&amp;R&amp;"Times New Roman,Regular"&amp;9 26678.897\4829-5163-7600.v1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21"/>
  <sheetViews>
    <sheetView workbookViewId="0">
      <selection activeCell="G16" sqref="G16"/>
    </sheetView>
  </sheetViews>
  <sheetFormatPr defaultColWidth="9.140625" defaultRowHeight="15.75"/>
  <cols>
    <col min="1" max="1" width="9.28515625" style="434" bestFit="1" customWidth="1"/>
    <col min="2" max="2" width="13.5703125" style="46" bestFit="1" customWidth="1"/>
    <col min="3" max="4" width="10.85546875" style="46" bestFit="1" customWidth="1"/>
    <col min="5" max="5" width="15.42578125" style="46" bestFit="1" customWidth="1"/>
    <col min="6" max="6" width="10.85546875" style="46" bestFit="1" customWidth="1"/>
    <col min="7" max="7" width="9.28515625" style="46" bestFit="1" customWidth="1"/>
    <col min="8" max="8" width="12.7109375" style="434" bestFit="1" customWidth="1"/>
    <col min="9" max="16384" width="9.140625" style="46"/>
  </cols>
  <sheetData>
    <row r="1" spans="1:13">
      <c r="A1" s="1244" t="s">
        <v>53</v>
      </c>
      <c r="B1" s="1244"/>
      <c r="C1" s="1244"/>
      <c r="D1" s="1244"/>
      <c r="E1" s="1244"/>
      <c r="F1" s="1244"/>
      <c r="G1" s="1244"/>
      <c r="H1" s="1244"/>
      <c r="I1" s="3"/>
      <c r="J1" s="3"/>
      <c r="K1" s="433"/>
      <c r="L1" s="433"/>
      <c r="M1" s="433"/>
    </row>
    <row r="2" spans="1:13">
      <c r="A2" s="1244" t="s">
        <v>1659</v>
      </c>
      <c r="B2" s="1244"/>
      <c r="C2" s="1244"/>
      <c r="D2" s="1244"/>
      <c r="E2" s="1244"/>
      <c r="F2" s="1244"/>
      <c r="G2" s="1244"/>
      <c r="H2" s="1244"/>
      <c r="I2" s="3"/>
      <c r="J2" s="3"/>
      <c r="K2" s="433"/>
      <c r="L2" s="433"/>
      <c r="M2" s="433"/>
    </row>
    <row r="3" spans="1:13">
      <c r="A3" s="1244" t="s">
        <v>1671</v>
      </c>
      <c r="B3" s="1244"/>
      <c r="C3" s="1244"/>
      <c r="D3" s="1244"/>
      <c r="E3" s="1244"/>
      <c r="F3" s="1244"/>
      <c r="G3" s="1244"/>
      <c r="H3" s="1244"/>
      <c r="I3" s="3"/>
      <c r="J3" s="3"/>
      <c r="K3" s="433"/>
      <c r="L3" s="433"/>
      <c r="M3" s="433"/>
    </row>
    <row r="4" spans="1:13">
      <c r="A4" s="1244" t="s">
        <v>76</v>
      </c>
      <c r="B4" s="1244"/>
      <c r="C4" s="1244"/>
      <c r="D4" s="1244"/>
      <c r="E4" s="1244"/>
      <c r="F4" s="1244"/>
      <c r="G4" s="1244"/>
      <c r="H4" s="1244"/>
      <c r="I4" s="3"/>
      <c r="J4" s="3"/>
      <c r="K4" s="433"/>
      <c r="L4" s="433"/>
      <c r="M4" s="433"/>
    </row>
    <row r="5" spans="1:13">
      <c r="A5" s="1244" t="s">
        <v>971</v>
      </c>
      <c r="B5" s="1244"/>
      <c r="C5" s="1244"/>
      <c r="D5" s="1244"/>
      <c r="E5" s="1244"/>
      <c r="F5" s="1244"/>
      <c r="G5" s="1244"/>
      <c r="H5" s="1244"/>
      <c r="I5" s="3"/>
      <c r="J5" s="3"/>
      <c r="K5" s="433"/>
      <c r="L5" s="433"/>
      <c r="M5" s="433"/>
    </row>
    <row r="6" spans="1:13">
      <c r="K6" s="433"/>
      <c r="L6" s="433"/>
      <c r="M6" s="433"/>
    </row>
    <row r="7" spans="1:13">
      <c r="K7" s="433"/>
      <c r="L7" s="433"/>
      <c r="M7" s="433"/>
    </row>
    <row r="8" spans="1:13">
      <c r="K8" s="433"/>
      <c r="L8" s="433"/>
      <c r="M8" s="433"/>
    </row>
    <row r="9" spans="1:13" s="434" customFormat="1">
      <c r="B9" s="434" t="s">
        <v>1689</v>
      </c>
      <c r="C9" s="434" t="s">
        <v>1687</v>
      </c>
      <c r="D9" s="434" t="s">
        <v>1688</v>
      </c>
      <c r="E9" s="434" t="s">
        <v>1691</v>
      </c>
      <c r="F9" s="434" t="s">
        <v>1692</v>
      </c>
      <c r="G9" s="434" t="s">
        <v>1701</v>
      </c>
      <c r="H9" s="434" t="s">
        <v>1702</v>
      </c>
      <c r="K9" s="435"/>
      <c r="L9" s="435"/>
      <c r="M9" s="435"/>
    </row>
    <row r="10" spans="1:13">
      <c r="B10" s="436" t="s">
        <v>378</v>
      </c>
      <c r="C10" s="433"/>
      <c r="D10" s="433"/>
      <c r="E10" s="433"/>
      <c r="F10" s="433"/>
      <c r="G10" s="433"/>
      <c r="H10" s="435"/>
      <c r="I10" s="433"/>
      <c r="J10" s="433"/>
    </row>
    <row r="11" spans="1:13">
      <c r="B11" s="433"/>
      <c r="C11" s="433"/>
      <c r="D11" s="433"/>
      <c r="E11" s="437"/>
      <c r="F11" s="433"/>
      <c r="G11" s="433"/>
      <c r="H11" s="435"/>
      <c r="I11" s="433"/>
      <c r="J11" s="433"/>
    </row>
    <row r="12" spans="1:13">
      <c r="A12" s="434" t="s">
        <v>879</v>
      </c>
      <c r="B12" s="433" t="s">
        <v>82</v>
      </c>
      <c r="C12" s="435" t="s">
        <v>83</v>
      </c>
      <c r="D12" s="435"/>
      <c r="E12" s="435" t="s">
        <v>84</v>
      </c>
      <c r="F12" s="435"/>
      <c r="G12" s="435" t="s">
        <v>85</v>
      </c>
      <c r="H12" s="435"/>
      <c r="I12" s="433"/>
      <c r="J12" s="433"/>
    </row>
    <row r="13" spans="1:13">
      <c r="A13" s="434">
        <v>1</v>
      </c>
      <c r="B13" s="438">
        <v>42735</v>
      </c>
      <c r="C13" s="435" t="s">
        <v>86</v>
      </c>
      <c r="D13" s="435" t="s">
        <v>87</v>
      </c>
      <c r="E13" s="435" t="s">
        <v>88</v>
      </c>
      <c r="F13" s="435" t="s">
        <v>55</v>
      </c>
      <c r="G13" s="435" t="s">
        <v>89</v>
      </c>
      <c r="H13" s="439" t="s">
        <v>90</v>
      </c>
      <c r="I13" s="433"/>
      <c r="J13" s="433"/>
    </row>
    <row r="14" spans="1:13">
      <c r="B14" s="438"/>
      <c r="C14" s="435"/>
      <c r="D14" s="435"/>
      <c r="E14" s="435"/>
      <c r="F14" s="435"/>
      <c r="G14" s="440"/>
      <c r="H14" s="441"/>
    </row>
    <row r="15" spans="1:13">
      <c r="B15" s="433"/>
      <c r="C15" s="435"/>
      <c r="D15" s="435"/>
      <c r="E15" s="435"/>
      <c r="F15" s="435"/>
      <c r="G15" s="435"/>
      <c r="H15" s="441"/>
    </row>
    <row r="16" spans="1:13" ht="16.5" thickBot="1">
      <c r="A16" s="434">
        <v>2</v>
      </c>
      <c r="B16" s="442">
        <f>+'2) ROO Summary Sheet'!L39</f>
        <v>288720306.60177088</v>
      </c>
      <c r="C16" s="443">
        <f>+'5) Cost of Capital'!J11</f>
        <v>2.648E-2</v>
      </c>
      <c r="D16" s="441">
        <f>B16*C16</f>
        <v>7645313.7188148927</v>
      </c>
      <c r="E16" s="441">
        <f>+'Operating Report'!G159</f>
        <v>8752011.7399999984</v>
      </c>
      <c r="F16" s="435">
        <f>+D16-E16</f>
        <v>-1106698.0211851057</v>
      </c>
      <c r="G16" s="444">
        <f>+'4) Conversion Factor'!D33</f>
        <v>0.35</v>
      </c>
      <c r="H16" s="445">
        <f>+F16*-G16</f>
        <v>387344.30741478695</v>
      </c>
      <c r="K16" s="433"/>
      <c r="L16" s="433"/>
      <c r="M16" s="433"/>
    </row>
    <row r="17" spans="2:13" ht="16.5" thickTop="1">
      <c r="B17" s="433"/>
      <c r="C17" s="433"/>
      <c r="D17" s="446"/>
      <c r="E17" s="433"/>
      <c r="F17" s="433"/>
      <c r="G17" s="447"/>
      <c r="H17" s="435"/>
      <c r="K17" s="433"/>
      <c r="L17" s="448"/>
      <c r="M17" s="433"/>
    </row>
    <row r="18" spans="2:13">
      <c r="G18" s="433"/>
      <c r="H18" s="435"/>
      <c r="K18" s="433"/>
      <c r="L18" s="433"/>
      <c r="M18" s="433"/>
    </row>
    <row r="19" spans="2:13">
      <c r="B19" s="449"/>
      <c r="C19" s="446"/>
      <c r="D19" s="446"/>
      <c r="E19" s="433"/>
      <c r="F19" s="433"/>
      <c r="I19" s="433"/>
      <c r="J19" s="433"/>
      <c r="K19" s="433"/>
      <c r="L19" s="433"/>
      <c r="M19" s="433"/>
    </row>
    <row r="20" spans="2:13">
      <c r="B20" s="433"/>
      <c r="C20" s="433"/>
      <c r="D20" s="433"/>
      <c r="E20" s="433"/>
      <c r="F20" s="433"/>
      <c r="I20" s="433"/>
      <c r="J20" s="433"/>
      <c r="K20" s="433"/>
      <c r="L20" s="433"/>
      <c r="M20" s="435"/>
    </row>
    <row r="21" spans="2:13">
      <c r="G21" s="433"/>
      <c r="H21" s="435"/>
      <c r="I21" s="433"/>
      <c r="J21" s="433"/>
      <c r="K21" s="433"/>
      <c r="L21" s="433"/>
      <c r="M21" s="433"/>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Name:&amp;A&amp;R&amp;"Times New Roman,Regular"&amp;9 26678.897\4829-5163-7600.v1</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P89"/>
  <sheetViews>
    <sheetView view="pageBreakPreview" topLeftCell="A49" zoomScale="70" zoomScaleNormal="100" zoomScaleSheetLayoutView="70" workbookViewId="0">
      <selection activeCell="C81" sqref="C81"/>
    </sheetView>
  </sheetViews>
  <sheetFormatPr defaultColWidth="9.140625" defaultRowHeight="15.75"/>
  <cols>
    <col min="1" max="1" width="10.140625" style="6" customWidth="1"/>
    <col min="2" max="2" width="46.140625" style="4" customWidth="1"/>
    <col min="3" max="3" width="12.140625" style="4" customWidth="1"/>
    <col min="4" max="4" width="18.42578125" style="4" bestFit="1" customWidth="1"/>
    <col min="5" max="5" width="12.7109375" style="4" bestFit="1" customWidth="1"/>
    <col min="6" max="6" width="19" style="4" bestFit="1" customWidth="1"/>
    <col min="7" max="7" width="8.140625" style="4" bestFit="1" customWidth="1"/>
    <col min="8" max="8" width="17.5703125" style="4" customWidth="1"/>
    <col min="9" max="9" width="19" style="4" customWidth="1"/>
    <col min="10" max="10" width="13.28515625" style="4" customWidth="1"/>
    <col min="11" max="11" width="19.5703125" style="4" customWidth="1"/>
    <col min="12" max="12" width="18.42578125" style="4" customWidth="1"/>
    <col min="13" max="13" width="8.140625" style="4" bestFit="1" customWidth="1"/>
    <col min="14" max="14" width="19" style="4" bestFit="1" customWidth="1"/>
    <col min="15" max="15" width="17.85546875" style="4" bestFit="1" customWidth="1"/>
    <col min="16" max="16" width="22.140625" style="4" bestFit="1" customWidth="1"/>
    <col min="17" max="16384" width="9.140625" style="4"/>
  </cols>
  <sheetData>
    <row r="1" spans="1:16">
      <c r="C1" s="372"/>
      <c r="D1" s="372"/>
      <c r="E1" s="1244" t="s">
        <v>53</v>
      </c>
      <c r="F1" s="1244"/>
      <c r="G1" s="1244"/>
      <c r="H1" s="1244"/>
      <c r="I1" s="1244"/>
      <c r="J1" s="1244"/>
      <c r="K1" s="1244"/>
      <c r="L1" s="1244"/>
      <c r="N1" s="372"/>
      <c r="O1" s="372"/>
      <c r="P1" s="372"/>
    </row>
    <row r="2" spans="1:16">
      <c r="C2" s="450"/>
      <c r="D2" s="450"/>
      <c r="E2" s="1244" t="s">
        <v>1659</v>
      </c>
      <c r="F2" s="1244"/>
      <c r="G2" s="1244"/>
      <c r="H2" s="1244"/>
      <c r="I2" s="1244"/>
      <c r="J2" s="1244"/>
      <c r="K2" s="1244"/>
      <c r="L2" s="1244"/>
      <c r="N2" s="450"/>
      <c r="O2" s="450"/>
      <c r="P2" s="450"/>
    </row>
    <row r="3" spans="1:16">
      <c r="C3" s="450"/>
      <c r="D3" s="450"/>
      <c r="E3" s="1244" t="s">
        <v>1672</v>
      </c>
      <c r="F3" s="1244"/>
      <c r="G3" s="1244"/>
      <c r="H3" s="1244"/>
      <c r="I3" s="1244"/>
      <c r="J3" s="1244"/>
      <c r="K3" s="1244"/>
      <c r="L3" s="1244"/>
      <c r="N3" s="450"/>
      <c r="O3" s="450"/>
      <c r="P3" s="450"/>
    </row>
    <row r="4" spans="1:16">
      <c r="C4" s="450"/>
      <c r="D4" s="450"/>
      <c r="E4" s="1244" t="s">
        <v>966</v>
      </c>
      <c r="F4" s="1244"/>
      <c r="G4" s="1244"/>
      <c r="H4" s="1244"/>
      <c r="I4" s="1244"/>
      <c r="J4" s="1244"/>
      <c r="K4" s="1244"/>
      <c r="L4" s="1244"/>
      <c r="N4" s="450"/>
      <c r="O4" s="450"/>
      <c r="P4" s="450"/>
    </row>
    <row r="5" spans="1:16">
      <c r="C5" s="451"/>
      <c r="D5" s="451"/>
      <c r="E5" s="1244" t="s">
        <v>971</v>
      </c>
      <c r="F5" s="1244"/>
      <c r="G5" s="1244"/>
      <c r="H5" s="1244"/>
      <c r="I5" s="1244"/>
      <c r="J5" s="1244"/>
      <c r="K5" s="1244"/>
      <c r="L5" s="1244"/>
      <c r="N5" s="452"/>
      <c r="O5" s="452"/>
      <c r="P5" s="452"/>
    </row>
    <row r="6" spans="1:16">
      <c r="C6" s="451"/>
      <c r="D6" s="451"/>
      <c r="E6" s="451"/>
      <c r="F6" s="27"/>
      <c r="G6" s="27"/>
      <c r="H6" s="27"/>
      <c r="I6" s="27"/>
      <c r="J6" s="27"/>
      <c r="K6" s="27"/>
      <c r="L6" s="27"/>
      <c r="M6" s="27"/>
      <c r="N6" s="452"/>
      <c r="O6" s="452"/>
      <c r="P6" s="452"/>
    </row>
    <row r="7" spans="1:16" s="6" customFormat="1">
      <c r="B7" s="6" t="s">
        <v>1689</v>
      </c>
      <c r="C7" s="6" t="s">
        <v>1687</v>
      </c>
      <c r="D7" s="6" t="s">
        <v>1688</v>
      </c>
      <c r="E7" s="6" t="s">
        <v>1691</v>
      </c>
      <c r="F7" s="6" t="s">
        <v>1692</v>
      </c>
      <c r="G7" s="6" t="s">
        <v>1701</v>
      </c>
      <c r="H7" s="6" t="s">
        <v>1702</v>
      </c>
      <c r="I7" s="453" t="s">
        <v>1703</v>
      </c>
      <c r="J7" s="453" t="s">
        <v>1704</v>
      </c>
      <c r="K7" s="453" t="s">
        <v>1705</v>
      </c>
      <c r="L7" s="453" t="s">
        <v>1706</v>
      </c>
      <c r="M7" s="453" t="s">
        <v>1707</v>
      </c>
      <c r="N7" s="453" t="s">
        <v>1708</v>
      </c>
      <c r="O7" s="453" t="s">
        <v>1709</v>
      </c>
      <c r="P7" s="453" t="s">
        <v>1710</v>
      </c>
    </row>
    <row r="8" spans="1:16">
      <c r="D8" s="4" t="s">
        <v>920</v>
      </c>
      <c r="E8" s="4" t="s">
        <v>921</v>
      </c>
      <c r="F8" s="4" t="s">
        <v>922</v>
      </c>
      <c r="G8" s="6"/>
      <c r="H8" s="4" t="s">
        <v>923</v>
      </c>
      <c r="P8" s="4" t="s">
        <v>52</v>
      </c>
    </row>
    <row r="9" spans="1:16">
      <c r="C9" s="4" t="s">
        <v>74</v>
      </c>
      <c r="D9" s="6" t="s">
        <v>2095</v>
      </c>
      <c r="E9" s="4" t="s">
        <v>64</v>
      </c>
      <c r="F9" s="4" t="s">
        <v>2096</v>
      </c>
      <c r="G9" s="6" t="s">
        <v>2097</v>
      </c>
      <c r="H9" s="4" t="s">
        <v>1021</v>
      </c>
      <c r="I9" s="4" t="s">
        <v>100</v>
      </c>
      <c r="J9" s="4" t="s">
        <v>924</v>
      </c>
      <c r="K9" s="4" t="s">
        <v>924</v>
      </c>
      <c r="L9" s="4" t="s">
        <v>1022</v>
      </c>
      <c r="N9" s="4" t="s">
        <v>1023</v>
      </c>
      <c r="O9" s="4" t="s">
        <v>1023</v>
      </c>
      <c r="P9" s="4" t="s">
        <v>921</v>
      </c>
    </row>
    <row r="10" spans="1:16">
      <c r="A10" s="13" t="s">
        <v>1686</v>
      </c>
      <c r="C10" s="4" t="s">
        <v>925</v>
      </c>
      <c r="D10" s="4" t="s">
        <v>926</v>
      </c>
      <c r="E10" s="4" t="s">
        <v>927</v>
      </c>
      <c r="F10" s="4" t="s">
        <v>928</v>
      </c>
      <c r="H10" s="4" t="s">
        <v>929</v>
      </c>
      <c r="J10" s="4" t="s">
        <v>2098</v>
      </c>
      <c r="K10" s="4" t="s">
        <v>64</v>
      </c>
      <c r="L10" s="4" t="s">
        <v>103</v>
      </c>
      <c r="N10" s="4" t="s">
        <v>64</v>
      </c>
      <c r="O10" s="4" t="s">
        <v>103</v>
      </c>
      <c r="P10" s="4" t="s">
        <v>55</v>
      </c>
    </row>
    <row r="11" spans="1:16">
      <c r="A11" s="6">
        <v>1</v>
      </c>
      <c r="B11" s="4" t="s">
        <v>930</v>
      </c>
      <c r="D11" s="228">
        <f>+D36</f>
        <v>5559294.3251210293</v>
      </c>
      <c r="E11" s="4" t="s">
        <v>1024</v>
      </c>
      <c r="F11" s="228">
        <v>0</v>
      </c>
      <c r="G11" s="278">
        <v>0.04</v>
      </c>
      <c r="H11" s="228">
        <f>+F11*G11</f>
        <v>0</v>
      </c>
      <c r="I11" s="228">
        <f>+D11+H11</f>
        <v>5559294.3251210293</v>
      </c>
      <c r="J11" s="278">
        <f>K36/I36</f>
        <v>3.9694374895358861E-2</v>
      </c>
      <c r="K11" s="228">
        <f>+I11*J11</f>
        <v>220672.71309499515</v>
      </c>
      <c r="L11" s="228">
        <f>+I11+K11</f>
        <v>5779967.0382160246</v>
      </c>
      <c r="M11" s="278">
        <f>N36/L36</f>
        <v>3.9694872968174484E-2</v>
      </c>
      <c r="N11" s="380">
        <f>+L11*M11</f>
        <v>229435.05734222083</v>
      </c>
      <c r="O11" s="380">
        <f>+L11+N11</f>
        <v>6009402.0955582457</v>
      </c>
      <c r="P11" s="228">
        <f>+N11+K11+H11</f>
        <v>450107.77043721598</v>
      </c>
    </row>
    <row r="12" spans="1:16">
      <c r="A12" s="6">
        <v>2</v>
      </c>
      <c r="D12" s="228"/>
      <c r="F12" s="228"/>
      <c r="G12" s="278"/>
      <c r="H12" s="228"/>
      <c r="I12" s="228"/>
      <c r="J12" s="278"/>
      <c r="K12" s="228"/>
      <c r="L12" s="228"/>
      <c r="M12" s="278"/>
      <c r="N12" s="380"/>
    </row>
    <row r="13" spans="1:16" ht="16.5" thickBot="1">
      <c r="A13" s="6">
        <v>3</v>
      </c>
      <c r="B13" s="4" t="s">
        <v>931</v>
      </c>
      <c r="D13" s="454">
        <f>+D61</f>
        <v>8859248.0217900351</v>
      </c>
      <c r="E13" s="455" t="s">
        <v>932</v>
      </c>
      <c r="F13" s="454">
        <f>+F61</f>
        <v>2308180.6871949974</v>
      </c>
      <c r="G13" s="456">
        <v>3.1E-2</v>
      </c>
      <c r="H13" s="454">
        <f>+F13*G13</f>
        <v>71553.601303044925</v>
      </c>
      <c r="I13" s="454">
        <f>+D13+H13</f>
        <v>8930801.6230930798</v>
      </c>
      <c r="J13" s="456">
        <v>3.1E-2</v>
      </c>
      <c r="K13" s="454">
        <f>+I13*J13</f>
        <v>276854.85031588544</v>
      </c>
      <c r="L13" s="454">
        <f>+I13+K13</f>
        <v>9207656.4734089654</v>
      </c>
      <c r="M13" s="456">
        <v>3.1E-2</v>
      </c>
      <c r="N13" s="457">
        <f>+L13*M13</f>
        <v>285437.35067567794</v>
      </c>
      <c r="O13" s="457">
        <f>+L13+N13</f>
        <v>9493093.8240846433</v>
      </c>
      <c r="P13" s="454">
        <f>+N13+K13+H13</f>
        <v>633845.80229460832</v>
      </c>
    </row>
    <row r="14" spans="1:16">
      <c r="A14" s="6">
        <v>4</v>
      </c>
      <c r="D14" s="228"/>
      <c r="F14" s="228"/>
      <c r="G14" s="278"/>
      <c r="H14" s="228"/>
      <c r="I14" s="228"/>
      <c r="J14" s="278"/>
      <c r="K14" s="228"/>
      <c r="L14" s="228"/>
      <c r="M14" s="278"/>
      <c r="N14" s="380"/>
    </row>
    <row r="15" spans="1:16" ht="16.5" thickBot="1">
      <c r="A15" s="6">
        <v>5</v>
      </c>
      <c r="D15" s="228">
        <v>13816265.910830002</v>
      </c>
      <c r="F15" s="228">
        <v>8816575.5899999999</v>
      </c>
      <c r="G15" s="278"/>
      <c r="H15" s="458">
        <f>+H11+H13</f>
        <v>71553.601303044925</v>
      </c>
      <c r="I15" s="228">
        <f>+I11+I13</f>
        <v>14490095.94821411</v>
      </c>
      <c r="J15" s="278"/>
      <c r="K15" s="458">
        <f>+K11+K13</f>
        <v>497527.56341088063</v>
      </c>
      <c r="L15" s="228">
        <f>+L11+L13</f>
        <v>14987623.51162499</v>
      </c>
      <c r="N15" s="458">
        <f>+N11+N13</f>
        <v>514872.40801789879</v>
      </c>
      <c r="P15" s="459">
        <f>+P11+P13</f>
        <v>1083953.5727318244</v>
      </c>
    </row>
    <row r="16" spans="1:16" ht="16.5" thickTop="1">
      <c r="A16" s="6">
        <v>6</v>
      </c>
      <c r="D16" s="228"/>
      <c r="F16" s="228"/>
      <c r="G16" s="278"/>
      <c r="H16" s="458"/>
      <c r="I16" s="228"/>
      <c r="J16" s="278"/>
      <c r="K16" s="458"/>
      <c r="L16" s="228"/>
      <c r="N16" s="458"/>
      <c r="P16" s="460"/>
    </row>
    <row r="17" spans="1:16">
      <c r="A17" s="6">
        <v>7</v>
      </c>
      <c r="B17" s="4" t="s">
        <v>955</v>
      </c>
      <c r="D17" s="228"/>
      <c r="F17" s="228"/>
      <c r="G17" s="278"/>
      <c r="H17" s="458"/>
      <c r="I17" s="228"/>
      <c r="J17" s="278"/>
      <c r="K17" s="458"/>
      <c r="L17" s="228"/>
      <c r="N17" s="458"/>
      <c r="O17" s="278">
        <v>7.6499999999999999E-2</v>
      </c>
      <c r="P17" s="460">
        <f>+P15*O17</f>
        <v>82922.448313984569</v>
      </c>
    </row>
    <row r="18" spans="1:16">
      <c r="A18" s="6">
        <v>8</v>
      </c>
      <c r="D18" s="228"/>
      <c r="G18" s="278"/>
      <c r="K18" s="228"/>
      <c r="L18" s="228"/>
      <c r="N18" s="380"/>
    </row>
    <row r="19" spans="1:16">
      <c r="A19" s="6">
        <v>9</v>
      </c>
      <c r="B19" s="4" t="s">
        <v>930</v>
      </c>
    </row>
    <row r="20" spans="1:16">
      <c r="A20" s="6">
        <v>10</v>
      </c>
      <c r="C20" s="461" t="s">
        <v>933</v>
      </c>
      <c r="D20" s="35">
        <v>198112.25077799964</v>
      </c>
      <c r="G20" s="278"/>
      <c r="H20" s="228">
        <f t="shared" ref="H20:H34" si="0">+F20*G20</f>
        <v>0</v>
      </c>
      <c r="I20" s="228">
        <f t="shared" ref="I20:I34" si="1">+D20+H20</f>
        <v>198112.25077799964</v>
      </c>
      <c r="J20" s="462">
        <v>0.04</v>
      </c>
      <c r="K20" s="228">
        <f>+I20*J20</f>
        <v>7924.4900311199854</v>
      </c>
      <c r="L20" s="228">
        <f>+I20+K20</f>
        <v>206036.74080911963</v>
      </c>
      <c r="M20" s="278">
        <v>0.04</v>
      </c>
      <c r="N20" s="380">
        <f t="shared" ref="N20:N29" si="2">+L20*M20</f>
        <v>8241.4696323647859</v>
      </c>
      <c r="O20" s="228">
        <f>+N20+L20</f>
        <v>214278.21044148441</v>
      </c>
      <c r="P20" s="228">
        <f t="shared" ref="P20:P29" si="3">+N20+K20+H20</f>
        <v>16165.959663484771</v>
      </c>
    </row>
    <row r="21" spans="1:16">
      <c r="A21" s="6">
        <v>11</v>
      </c>
      <c r="C21" s="461" t="s">
        <v>934</v>
      </c>
      <c r="D21" s="35">
        <v>1241025.4402469669</v>
      </c>
      <c r="G21" s="278"/>
      <c r="H21" s="228">
        <f t="shared" si="0"/>
        <v>0</v>
      </c>
      <c r="I21" s="228">
        <f t="shared" si="1"/>
        <v>1241025.4402469669</v>
      </c>
      <c r="J21" s="462">
        <v>0.04</v>
      </c>
      <c r="K21" s="228">
        <f t="shared" ref="K21:K34" si="4">+I21*J21</f>
        <v>49641.017609878676</v>
      </c>
      <c r="L21" s="228">
        <f t="shared" ref="L21:L34" si="5">+I21+K21</f>
        <v>1290666.4578568456</v>
      </c>
      <c r="M21" s="278">
        <v>0.04</v>
      </c>
      <c r="N21" s="380">
        <f t="shared" si="2"/>
        <v>51626.658314273824</v>
      </c>
      <c r="O21" s="228">
        <f t="shared" ref="O21:O34" si="6">+N21+L21</f>
        <v>1342293.1161711195</v>
      </c>
      <c r="P21" s="228">
        <f t="shared" si="3"/>
        <v>101267.6759241525</v>
      </c>
    </row>
    <row r="22" spans="1:16">
      <c r="A22" s="6">
        <v>12</v>
      </c>
      <c r="C22" s="461" t="s">
        <v>935</v>
      </c>
      <c r="D22" s="35">
        <v>352014.65952900029</v>
      </c>
      <c r="G22" s="278"/>
      <c r="H22" s="228">
        <f t="shared" si="0"/>
        <v>0</v>
      </c>
      <c r="I22" s="228">
        <f t="shared" si="1"/>
        <v>352014.65952900029</v>
      </c>
      <c r="J22" s="462">
        <v>0.04</v>
      </c>
      <c r="K22" s="228">
        <f t="shared" si="4"/>
        <v>14080.586381160012</v>
      </c>
      <c r="L22" s="228">
        <f t="shared" si="5"/>
        <v>366095.2459101603</v>
      </c>
      <c r="M22" s="278">
        <v>0.04</v>
      </c>
      <c r="N22" s="380">
        <f t="shared" si="2"/>
        <v>14643.809836406412</v>
      </c>
      <c r="O22" s="228">
        <f t="shared" si="6"/>
        <v>380739.05574656674</v>
      </c>
      <c r="P22" s="228">
        <f t="shared" si="3"/>
        <v>28724.396217566424</v>
      </c>
    </row>
    <row r="23" spans="1:16">
      <c r="A23" s="6">
        <v>13</v>
      </c>
      <c r="C23" s="461" t="s">
        <v>936</v>
      </c>
      <c r="D23" s="35">
        <v>359591.65829400643</v>
      </c>
      <c r="G23" s="278"/>
      <c r="H23" s="228">
        <f t="shared" si="0"/>
        <v>0</v>
      </c>
      <c r="I23" s="228">
        <f t="shared" si="1"/>
        <v>359591.65829400643</v>
      </c>
      <c r="J23" s="462">
        <v>0.04</v>
      </c>
      <c r="K23" s="228">
        <f t="shared" si="4"/>
        <v>14383.666331760258</v>
      </c>
      <c r="L23" s="228">
        <f t="shared" si="5"/>
        <v>373975.32462576666</v>
      </c>
      <c r="M23" s="278">
        <v>0.04</v>
      </c>
      <c r="N23" s="380">
        <f t="shared" si="2"/>
        <v>14959.012985030668</v>
      </c>
      <c r="O23" s="228">
        <f t="shared" si="6"/>
        <v>388934.33761079732</v>
      </c>
      <c r="P23" s="228">
        <f t="shared" si="3"/>
        <v>29342.679316790927</v>
      </c>
    </row>
    <row r="24" spans="1:16">
      <c r="A24" s="6">
        <v>14</v>
      </c>
      <c r="C24" s="461" t="s">
        <v>937</v>
      </c>
      <c r="D24" s="35">
        <v>7309.400000000006</v>
      </c>
      <c r="G24" s="278"/>
      <c r="H24" s="228">
        <f t="shared" si="0"/>
        <v>0</v>
      </c>
      <c r="I24" s="228">
        <f t="shared" si="1"/>
        <v>7309.400000000006</v>
      </c>
      <c r="J24" s="462">
        <v>0.04</v>
      </c>
      <c r="K24" s="228">
        <f t="shared" si="4"/>
        <v>292.37600000000026</v>
      </c>
      <c r="L24" s="228">
        <f t="shared" si="5"/>
        <v>7601.7760000000062</v>
      </c>
      <c r="M24" s="278">
        <v>0.04</v>
      </c>
      <c r="N24" s="380">
        <f t="shared" si="2"/>
        <v>304.07104000000027</v>
      </c>
      <c r="O24" s="228">
        <f t="shared" si="6"/>
        <v>7905.847040000006</v>
      </c>
      <c r="P24" s="228">
        <f t="shared" si="3"/>
        <v>596.44704000000047</v>
      </c>
    </row>
    <row r="25" spans="1:16">
      <c r="A25" s="6">
        <v>15</v>
      </c>
      <c r="C25" s="461" t="s">
        <v>939</v>
      </c>
      <c r="D25" s="35">
        <v>312094.9166350009</v>
      </c>
      <c r="G25" s="278"/>
      <c r="H25" s="228">
        <f t="shared" si="0"/>
        <v>0</v>
      </c>
      <c r="I25" s="228">
        <f t="shared" si="1"/>
        <v>312094.9166350009</v>
      </c>
      <c r="J25" s="462">
        <v>0.04</v>
      </c>
      <c r="K25" s="228">
        <f t="shared" si="4"/>
        <v>12483.796665400036</v>
      </c>
      <c r="L25" s="228">
        <f t="shared" si="5"/>
        <v>324578.71330040094</v>
      </c>
      <c r="M25" s="278">
        <v>0.04</v>
      </c>
      <c r="N25" s="380">
        <f t="shared" si="2"/>
        <v>12983.148532016037</v>
      </c>
      <c r="O25" s="228">
        <f t="shared" si="6"/>
        <v>337561.86183241697</v>
      </c>
      <c r="P25" s="228">
        <f t="shared" si="3"/>
        <v>25466.945197416073</v>
      </c>
    </row>
    <row r="26" spans="1:16">
      <c r="A26" s="6">
        <v>16</v>
      </c>
      <c r="C26" s="461">
        <v>28850</v>
      </c>
      <c r="D26" s="35">
        <v>120636.82165100051</v>
      </c>
      <c r="G26" s="278"/>
      <c r="H26" s="228">
        <f t="shared" si="0"/>
        <v>0</v>
      </c>
      <c r="I26" s="228">
        <f t="shared" si="1"/>
        <v>120636.82165100051</v>
      </c>
      <c r="J26" s="462">
        <v>0.04</v>
      </c>
      <c r="K26" s="228">
        <f t="shared" si="4"/>
        <v>4825.4728660400206</v>
      </c>
      <c r="L26" s="228">
        <f t="shared" si="5"/>
        <v>125462.29451704053</v>
      </c>
      <c r="M26" s="278">
        <v>0.04</v>
      </c>
      <c r="N26" s="380">
        <f t="shared" si="2"/>
        <v>5018.4917806816211</v>
      </c>
      <c r="O26" s="228">
        <f t="shared" si="6"/>
        <v>130480.78629772215</v>
      </c>
      <c r="P26" s="228">
        <f t="shared" si="3"/>
        <v>9843.9646467216407</v>
      </c>
    </row>
    <row r="27" spans="1:16">
      <c r="A27" s="6">
        <v>17</v>
      </c>
      <c r="C27" s="461" t="s">
        <v>940</v>
      </c>
      <c r="D27" s="35">
        <v>8996.492940999995</v>
      </c>
      <c r="G27" s="278"/>
      <c r="H27" s="228">
        <f t="shared" si="0"/>
        <v>0</v>
      </c>
      <c r="I27" s="228">
        <f t="shared" si="1"/>
        <v>8996.492940999995</v>
      </c>
      <c r="J27" s="462">
        <v>0.04</v>
      </c>
      <c r="K27" s="228">
        <f t="shared" si="4"/>
        <v>359.85971763999981</v>
      </c>
      <c r="L27" s="228">
        <f t="shared" si="5"/>
        <v>9356.3526586399948</v>
      </c>
      <c r="M27" s="278">
        <v>0.04</v>
      </c>
      <c r="N27" s="380">
        <f t="shared" si="2"/>
        <v>374.25410634559978</v>
      </c>
      <c r="O27" s="228">
        <f t="shared" si="6"/>
        <v>9730.6067649855941</v>
      </c>
      <c r="P27" s="228">
        <f t="shared" si="3"/>
        <v>734.11382398559954</v>
      </c>
    </row>
    <row r="28" spans="1:16">
      <c r="A28" s="6">
        <v>18</v>
      </c>
      <c r="C28" s="461" t="s">
        <v>943</v>
      </c>
      <c r="D28" s="35">
        <v>62790.160000000054</v>
      </c>
      <c r="G28" s="278"/>
      <c r="H28" s="228">
        <f t="shared" si="0"/>
        <v>0</v>
      </c>
      <c r="I28" s="228">
        <f t="shared" si="1"/>
        <v>62790.160000000054</v>
      </c>
      <c r="J28" s="462">
        <v>0.04</v>
      </c>
      <c r="K28" s="228">
        <f t="shared" si="4"/>
        <v>2511.6064000000024</v>
      </c>
      <c r="L28" s="228">
        <f t="shared" si="5"/>
        <v>65301.766400000059</v>
      </c>
      <c r="M28" s="278">
        <v>0.04</v>
      </c>
      <c r="N28" s="380">
        <f t="shared" si="2"/>
        <v>2612.0706560000026</v>
      </c>
      <c r="O28" s="228">
        <f t="shared" si="6"/>
        <v>67913.837056000062</v>
      </c>
      <c r="P28" s="228">
        <f t="shared" si="3"/>
        <v>5123.677056000005</v>
      </c>
    </row>
    <row r="29" spans="1:16">
      <c r="A29" s="6">
        <v>19</v>
      </c>
      <c r="C29" s="461" t="s">
        <v>944</v>
      </c>
      <c r="D29" s="35">
        <v>11787.9457</v>
      </c>
      <c r="G29" s="278"/>
      <c r="H29" s="228">
        <f t="shared" si="0"/>
        <v>0</v>
      </c>
      <c r="I29" s="228">
        <f t="shared" si="1"/>
        <v>11787.9457</v>
      </c>
      <c r="J29" s="462">
        <v>0.04</v>
      </c>
      <c r="K29" s="228">
        <f t="shared" si="4"/>
        <v>471.51782800000001</v>
      </c>
      <c r="L29" s="228">
        <f t="shared" si="5"/>
        <v>12259.463528</v>
      </c>
      <c r="M29" s="278">
        <v>0.04</v>
      </c>
      <c r="N29" s="380">
        <f t="shared" si="2"/>
        <v>490.37854112000002</v>
      </c>
      <c r="O29" s="228">
        <f t="shared" si="6"/>
        <v>12749.842069120001</v>
      </c>
      <c r="P29" s="228">
        <f t="shared" si="3"/>
        <v>961.89636912000003</v>
      </c>
    </row>
    <row r="30" spans="1:16">
      <c r="A30" s="6">
        <v>20</v>
      </c>
      <c r="C30" s="461" t="s">
        <v>946</v>
      </c>
      <c r="D30" s="463">
        <f>684342.989486994-D31</f>
        <v>326377.82999999571</v>
      </c>
      <c r="G30" s="278"/>
      <c r="H30" s="228">
        <f t="shared" si="0"/>
        <v>0</v>
      </c>
      <c r="I30" s="228">
        <f t="shared" si="1"/>
        <v>326377.82999999571</v>
      </c>
      <c r="J30" s="462">
        <v>0.04</v>
      </c>
      <c r="K30" s="228">
        <f t="shared" si="4"/>
        <v>13055.113199999829</v>
      </c>
      <c r="L30" s="228">
        <f t="shared" si="5"/>
        <v>339432.94319999556</v>
      </c>
      <c r="M30" s="278">
        <v>0.04</v>
      </c>
      <c r="N30" s="380">
        <f>+L30*M30</f>
        <v>13577.317727999822</v>
      </c>
      <c r="O30" s="228">
        <f t="shared" si="6"/>
        <v>353010.26092799538</v>
      </c>
      <c r="P30" s="228">
        <f>+N30+K30+H30</f>
        <v>26632.430927999652</v>
      </c>
    </row>
    <row r="31" spans="1:16">
      <c r="A31" s="6">
        <v>21</v>
      </c>
      <c r="C31" s="461" t="s">
        <v>1107</v>
      </c>
      <c r="D31" s="463">
        <v>357965.15948699828</v>
      </c>
      <c r="G31" s="278"/>
      <c r="H31" s="228">
        <f t="shared" si="0"/>
        <v>0</v>
      </c>
      <c r="I31" s="228">
        <f t="shared" si="1"/>
        <v>357965.15948699828</v>
      </c>
      <c r="J31" s="462">
        <v>3.7999999999999999E-2</v>
      </c>
      <c r="K31" s="228">
        <f t="shared" si="4"/>
        <v>13602.676060505933</v>
      </c>
      <c r="L31" s="228">
        <f t="shared" si="5"/>
        <v>371567.83554750419</v>
      </c>
      <c r="M31" s="278">
        <v>3.7999999999999999E-2</v>
      </c>
      <c r="N31" s="380">
        <f>+L31*M31</f>
        <v>14119.57775080516</v>
      </c>
      <c r="O31" s="228">
        <f t="shared" si="6"/>
        <v>385687.41329830937</v>
      </c>
      <c r="P31" s="228">
        <f>+N31+K31+H31</f>
        <v>27722.253811311093</v>
      </c>
    </row>
    <row r="32" spans="1:16">
      <c r="A32" s="6">
        <v>22</v>
      </c>
      <c r="C32" s="461" t="s">
        <v>947</v>
      </c>
      <c r="D32" s="463">
        <f>2187157.41531306-D33</f>
        <v>1695592.6198770627</v>
      </c>
      <c r="G32" s="278"/>
      <c r="H32" s="228">
        <f t="shared" si="0"/>
        <v>0</v>
      </c>
      <c r="I32" s="228">
        <f t="shared" si="1"/>
        <v>1695592.6198770627</v>
      </c>
      <c r="J32" s="462">
        <v>0.04</v>
      </c>
      <c r="K32" s="228">
        <f t="shared" si="4"/>
        <v>67823.704795082507</v>
      </c>
      <c r="L32" s="228">
        <f t="shared" si="5"/>
        <v>1763416.3246721453</v>
      </c>
      <c r="M32" s="278">
        <v>0.04</v>
      </c>
      <c r="N32" s="380">
        <f>+L32*M32</f>
        <v>70536.65298688582</v>
      </c>
      <c r="O32" s="228">
        <f t="shared" si="6"/>
        <v>1833952.9776590311</v>
      </c>
      <c r="P32" s="228">
        <f>+N32+K32+H32</f>
        <v>138360.35778196831</v>
      </c>
    </row>
    <row r="33" spans="1:16">
      <c r="A33" s="6">
        <v>23</v>
      </c>
      <c r="C33" s="461" t="s">
        <v>1108</v>
      </c>
      <c r="D33" s="463">
        <v>491564.79543599725</v>
      </c>
      <c r="G33" s="278"/>
      <c r="H33" s="228">
        <f t="shared" si="0"/>
        <v>0</v>
      </c>
      <c r="I33" s="228">
        <f t="shared" si="1"/>
        <v>491564.79543599725</v>
      </c>
      <c r="J33" s="462">
        <v>3.7999999999999999E-2</v>
      </c>
      <c r="K33" s="228">
        <f t="shared" si="4"/>
        <v>18679.462226567895</v>
      </c>
      <c r="L33" s="228">
        <f t="shared" si="5"/>
        <v>510244.25766256516</v>
      </c>
      <c r="M33" s="278">
        <v>3.7999999999999999E-2</v>
      </c>
      <c r="N33" s="380">
        <f>+L33*M33</f>
        <v>19389.281791177476</v>
      </c>
      <c r="O33" s="228">
        <f t="shared" si="6"/>
        <v>529633.53945374268</v>
      </c>
      <c r="P33" s="228">
        <f>+N33+K33+H33</f>
        <v>38068.744017745368</v>
      </c>
    </row>
    <row r="34" spans="1:16">
      <c r="A34" s="6">
        <v>24</v>
      </c>
      <c r="C34" s="464">
        <v>29260</v>
      </c>
      <c r="D34" s="35">
        <v>13434.174545999997</v>
      </c>
      <c r="G34" s="278"/>
      <c r="H34" s="228">
        <f t="shared" si="0"/>
        <v>0</v>
      </c>
      <c r="I34" s="228">
        <f t="shared" si="1"/>
        <v>13434.174545999997</v>
      </c>
      <c r="J34" s="462">
        <v>0.04</v>
      </c>
      <c r="K34" s="228">
        <f t="shared" si="4"/>
        <v>537.36698183999988</v>
      </c>
      <c r="L34" s="228">
        <f t="shared" si="5"/>
        <v>13971.541527839996</v>
      </c>
      <c r="M34" s="278">
        <v>0.04</v>
      </c>
      <c r="N34" s="380">
        <f>+L34*M34</f>
        <v>558.86166111359989</v>
      </c>
      <c r="O34" s="228">
        <f t="shared" si="6"/>
        <v>14530.403188953596</v>
      </c>
      <c r="P34" s="228">
        <f>+N34+K34+H34</f>
        <v>1096.2286429535998</v>
      </c>
    </row>
    <row r="35" spans="1:16">
      <c r="A35" s="6">
        <v>25</v>
      </c>
      <c r="C35" s="464"/>
      <c r="D35" s="35"/>
      <c r="G35" s="278"/>
      <c r="H35" s="228"/>
      <c r="I35" s="228"/>
      <c r="J35" s="462"/>
      <c r="K35" s="228"/>
      <c r="L35" s="228"/>
      <c r="M35" s="278"/>
      <c r="N35" s="380"/>
      <c r="P35" s="228"/>
    </row>
    <row r="36" spans="1:16">
      <c r="A36" s="6">
        <v>26</v>
      </c>
      <c r="D36" s="465">
        <f>SUM(D20:D34)</f>
        <v>5559294.3251210293</v>
      </c>
      <c r="F36" s="465">
        <f>SUM(F20:F34)</f>
        <v>0</v>
      </c>
      <c r="H36" s="465">
        <f>SUM(H20:H34)</f>
        <v>0</v>
      </c>
      <c r="I36" s="465">
        <f>SUM(I20:I34)</f>
        <v>5559294.3251210293</v>
      </c>
      <c r="K36" s="465">
        <f>SUM(K20:K34)</f>
        <v>220672.71309499515</v>
      </c>
      <c r="L36" s="465">
        <f>SUM(L20:L34)</f>
        <v>5779967.0382160246</v>
      </c>
      <c r="N36" s="465">
        <f>SUM(N20:N34)</f>
        <v>229435.05734222083</v>
      </c>
      <c r="O36" s="465">
        <f>SUM(O20:O34)</f>
        <v>6009402.0955582447</v>
      </c>
      <c r="P36" s="465">
        <f>SUM(P20:P34)</f>
        <v>450107.77043721598</v>
      </c>
    </row>
    <row r="37" spans="1:16">
      <c r="A37" s="6" t="s">
        <v>1686</v>
      </c>
      <c r="B37" s="4" t="s">
        <v>931</v>
      </c>
    </row>
    <row r="38" spans="1:16">
      <c r="A38" s="6">
        <v>27</v>
      </c>
      <c r="C38" s="464" t="s">
        <v>948</v>
      </c>
      <c r="D38" s="465"/>
    </row>
    <row r="39" spans="1:16">
      <c r="A39" s="6">
        <v>28</v>
      </c>
      <c r="C39" s="461" t="s">
        <v>935</v>
      </c>
      <c r="D39" s="35">
        <v>65642.860590000142</v>
      </c>
      <c r="F39" s="35">
        <v>16091.811392000001</v>
      </c>
      <c r="G39" s="278">
        <v>3.1E-2</v>
      </c>
      <c r="H39" s="228">
        <f>+F39*G39</f>
        <v>498.84615315200006</v>
      </c>
      <c r="I39" s="228">
        <f t="shared" ref="I39:I60" si="7">+D39+H39</f>
        <v>66141.706743152143</v>
      </c>
      <c r="J39" s="278">
        <v>3.1E-2</v>
      </c>
      <c r="K39" s="228">
        <f t="shared" ref="K39:K60" si="8">+I39*J39</f>
        <v>2050.3929090377164</v>
      </c>
      <c r="L39" s="228">
        <f t="shared" ref="L39:L59" si="9">+I39+K39</f>
        <v>68192.099652189863</v>
      </c>
      <c r="M39" s="278">
        <v>3.1E-2</v>
      </c>
      <c r="N39" s="380">
        <f t="shared" ref="N39:N59" si="10">+L39*M39</f>
        <v>2113.9550892178859</v>
      </c>
      <c r="O39" s="380">
        <f>+L39+N39</f>
        <v>70306.054741407745</v>
      </c>
      <c r="P39" s="228">
        <f t="shared" ref="P39:P60" si="11">+N39+K39+H39</f>
        <v>4663.1941514076016</v>
      </c>
    </row>
    <row r="40" spans="1:16">
      <c r="A40" s="6">
        <v>29</v>
      </c>
      <c r="C40" s="461" t="s">
        <v>949</v>
      </c>
      <c r="D40" s="35">
        <v>78031.010000000446</v>
      </c>
      <c r="F40" s="35">
        <v>20963.160000000007</v>
      </c>
      <c r="G40" s="278">
        <v>3.1E-2</v>
      </c>
      <c r="H40" s="228">
        <f>+F40*G40</f>
        <v>649.85796000000016</v>
      </c>
      <c r="I40" s="228">
        <f t="shared" si="7"/>
        <v>78680.86796000044</v>
      </c>
      <c r="J40" s="278">
        <v>3.1E-2</v>
      </c>
      <c r="K40" s="228">
        <f t="shared" si="8"/>
        <v>2439.1069067600138</v>
      </c>
      <c r="L40" s="228">
        <f t="shared" si="9"/>
        <v>81119.974866760458</v>
      </c>
      <c r="M40" s="278">
        <v>3.1E-2</v>
      </c>
      <c r="N40" s="380">
        <f t="shared" si="10"/>
        <v>2514.7192208695742</v>
      </c>
      <c r="O40" s="380">
        <f t="shared" ref="O40:O56" si="12">+L40+N40</f>
        <v>83634.694087630036</v>
      </c>
      <c r="P40" s="228">
        <f t="shared" si="11"/>
        <v>5603.6840876295882</v>
      </c>
    </row>
    <row r="41" spans="1:16">
      <c r="A41" s="6">
        <v>30</v>
      </c>
      <c r="C41" s="461" t="s">
        <v>936</v>
      </c>
      <c r="D41" s="35">
        <v>2069470.9652639814</v>
      </c>
      <c r="F41" s="35">
        <v>497116.51765099907</v>
      </c>
      <c r="G41" s="278">
        <v>3.1E-2</v>
      </c>
      <c r="H41" s="228">
        <f>+F41*G41</f>
        <v>15410.612047180972</v>
      </c>
      <c r="I41" s="228">
        <f t="shared" si="7"/>
        <v>2084881.5773111624</v>
      </c>
      <c r="J41" s="278">
        <v>3.1E-2</v>
      </c>
      <c r="K41" s="228">
        <f t="shared" si="8"/>
        <v>64631.328896646031</v>
      </c>
      <c r="L41" s="228">
        <f t="shared" si="9"/>
        <v>2149512.9062078083</v>
      </c>
      <c r="M41" s="278">
        <v>3.1E-2</v>
      </c>
      <c r="N41" s="380">
        <f t="shared" si="10"/>
        <v>66634.900092442054</v>
      </c>
      <c r="O41" s="380">
        <f t="shared" si="12"/>
        <v>2216147.8063002503</v>
      </c>
      <c r="P41" s="228">
        <f t="shared" si="11"/>
        <v>146676.84103626906</v>
      </c>
    </row>
    <row r="42" spans="1:16">
      <c r="A42" s="6">
        <v>31</v>
      </c>
      <c r="C42" s="461" t="s">
        <v>950</v>
      </c>
      <c r="D42" s="35">
        <v>304520.09932699846</v>
      </c>
      <c r="F42" s="35">
        <v>73909.680551000114</v>
      </c>
      <c r="G42" s="278">
        <v>3.1E-2</v>
      </c>
      <c r="H42" s="228">
        <f t="shared" ref="H42:H60" si="13">+F42*G42</f>
        <v>2291.2000970810036</v>
      </c>
      <c r="I42" s="228">
        <f t="shared" si="7"/>
        <v>306811.29942407948</v>
      </c>
      <c r="J42" s="278">
        <v>3.1E-2</v>
      </c>
      <c r="K42" s="228">
        <f t="shared" si="8"/>
        <v>9511.1502821464637</v>
      </c>
      <c r="L42" s="228">
        <f t="shared" si="9"/>
        <v>316322.44970622595</v>
      </c>
      <c r="M42" s="278">
        <v>3.1E-2</v>
      </c>
      <c r="N42" s="380">
        <f t="shared" si="10"/>
        <v>9805.9959408930044</v>
      </c>
      <c r="O42" s="380">
        <f t="shared" si="12"/>
        <v>326128.44564711896</v>
      </c>
      <c r="P42" s="228">
        <f t="shared" si="11"/>
        <v>21608.346320120472</v>
      </c>
    </row>
    <row r="43" spans="1:16">
      <c r="A43" s="6">
        <v>32</v>
      </c>
      <c r="C43" s="461" t="s">
        <v>951</v>
      </c>
      <c r="D43" s="35">
        <v>68748.616163999861</v>
      </c>
      <c r="F43" s="35">
        <v>21810.994966000002</v>
      </c>
      <c r="G43" s="278">
        <v>3.1E-2</v>
      </c>
      <c r="H43" s="228">
        <f t="shared" si="13"/>
        <v>676.14084394600002</v>
      </c>
      <c r="I43" s="228">
        <f t="shared" si="7"/>
        <v>69424.757007945867</v>
      </c>
      <c r="J43" s="278">
        <v>3.1E-2</v>
      </c>
      <c r="K43" s="228">
        <f t="shared" si="8"/>
        <v>2152.1674672463218</v>
      </c>
      <c r="L43" s="228">
        <f t="shared" si="9"/>
        <v>71576.924475192194</v>
      </c>
      <c r="M43" s="278">
        <v>3.1E-2</v>
      </c>
      <c r="N43" s="380">
        <f t="shared" si="10"/>
        <v>2218.8846587309581</v>
      </c>
      <c r="O43" s="380">
        <f t="shared" si="12"/>
        <v>73795.809133923147</v>
      </c>
      <c r="P43" s="228">
        <f t="shared" si="11"/>
        <v>5047.1929699232796</v>
      </c>
    </row>
    <row r="44" spans="1:16">
      <c r="A44" s="6">
        <v>33</v>
      </c>
      <c r="C44" s="461" t="s">
        <v>937</v>
      </c>
      <c r="D44" s="35">
        <v>1150953.1000000152</v>
      </c>
      <c r="F44" s="35">
        <v>277047.46000000107</v>
      </c>
      <c r="G44" s="278">
        <v>3.1E-2</v>
      </c>
      <c r="H44" s="228">
        <f t="shared" si="13"/>
        <v>8588.471260000033</v>
      </c>
      <c r="I44" s="228">
        <f t="shared" si="7"/>
        <v>1159541.5712600152</v>
      </c>
      <c r="J44" s="278">
        <v>3.1E-2</v>
      </c>
      <c r="K44" s="228">
        <f t="shared" si="8"/>
        <v>35945.788709060471</v>
      </c>
      <c r="L44" s="228">
        <f t="shared" si="9"/>
        <v>1195487.3599690758</v>
      </c>
      <c r="M44" s="278">
        <v>3.1E-2</v>
      </c>
      <c r="N44" s="380">
        <f t="shared" si="10"/>
        <v>37060.108159041345</v>
      </c>
      <c r="O44" s="380">
        <f t="shared" si="12"/>
        <v>1232547.468128117</v>
      </c>
      <c r="P44" s="228">
        <f t="shared" si="11"/>
        <v>81594.368128101851</v>
      </c>
    </row>
    <row r="45" spans="1:16">
      <c r="A45" s="6">
        <v>34</v>
      </c>
      <c r="C45" s="461" t="s">
        <v>938</v>
      </c>
      <c r="D45" s="35">
        <v>945193.08999998716</v>
      </c>
      <c r="F45" s="35">
        <v>257382.84999999913</v>
      </c>
      <c r="G45" s="278">
        <v>3.1E-2</v>
      </c>
      <c r="H45" s="228">
        <f t="shared" si="13"/>
        <v>7978.8683499999734</v>
      </c>
      <c r="I45" s="228">
        <f t="shared" si="7"/>
        <v>953171.95834998717</v>
      </c>
      <c r="J45" s="278">
        <v>3.1E-2</v>
      </c>
      <c r="K45" s="228">
        <f t="shared" si="8"/>
        <v>29548.3307088496</v>
      </c>
      <c r="L45" s="228">
        <f t="shared" si="9"/>
        <v>982720.28905883676</v>
      </c>
      <c r="M45" s="278">
        <v>3.1E-2</v>
      </c>
      <c r="N45" s="380">
        <f t="shared" si="10"/>
        <v>30464.328960823939</v>
      </c>
      <c r="O45" s="380">
        <f t="shared" si="12"/>
        <v>1013184.6180196607</v>
      </c>
      <c r="P45" s="228">
        <f t="shared" si="11"/>
        <v>67991.528019673511</v>
      </c>
    </row>
    <row r="46" spans="1:16">
      <c r="A46" s="6">
        <v>35</v>
      </c>
      <c r="C46" s="461" t="s">
        <v>939</v>
      </c>
      <c r="D46" s="35">
        <v>1143221.8732780369</v>
      </c>
      <c r="F46" s="35">
        <v>326097.65622899926</v>
      </c>
      <c r="G46" s="278">
        <v>3.1E-2</v>
      </c>
      <c r="H46" s="228">
        <f t="shared" si="13"/>
        <v>10109.027343098976</v>
      </c>
      <c r="I46" s="228">
        <f t="shared" si="7"/>
        <v>1153330.900621136</v>
      </c>
      <c r="J46" s="278">
        <v>3.1E-2</v>
      </c>
      <c r="K46" s="228">
        <f t="shared" si="8"/>
        <v>35753.257919255215</v>
      </c>
      <c r="L46" s="228">
        <f t="shared" si="9"/>
        <v>1189084.1585403911</v>
      </c>
      <c r="M46" s="278">
        <v>3.1E-2</v>
      </c>
      <c r="N46" s="380">
        <f t="shared" si="10"/>
        <v>36861.608914752127</v>
      </c>
      <c r="O46" s="380">
        <f t="shared" si="12"/>
        <v>1225945.7674551432</v>
      </c>
      <c r="P46" s="228">
        <f t="shared" si="11"/>
        <v>82723.894177106326</v>
      </c>
    </row>
    <row r="47" spans="1:16">
      <c r="A47" s="6">
        <v>36</v>
      </c>
      <c r="C47" s="21">
        <v>28860</v>
      </c>
      <c r="D47" s="35">
        <v>73.92</v>
      </c>
      <c r="F47" s="35">
        <v>0</v>
      </c>
      <c r="G47" s="278">
        <v>3.1E-2</v>
      </c>
      <c r="H47" s="228">
        <f t="shared" si="13"/>
        <v>0</v>
      </c>
      <c r="I47" s="228">
        <f>+D47+H47</f>
        <v>73.92</v>
      </c>
      <c r="J47" s="278">
        <v>3.1E-2</v>
      </c>
      <c r="K47" s="228">
        <f>+I47*J47</f>
        <v>2.2915200000000002</v>
      </c>
      <c r="L47" s="228">
        <f>+I47+K47</f>
        <v>76.211520000000007</v>
      </c>
      <c r="M47" s="278">
        <v>3.1E-2</v>
      </c>
      <c r="N47" s="380">
        <f>+L47*M47</f>
        <v>2.3625571200000004</v>
      </c>
      <c r="O47" s="380">
        <f t="shared" si="12"/>
        <v>78.574077120000013</v>
      </c>
      <c r="P47" s="228">
        <f>+N47+K47+H47</f>
        <v>4.6540771200000002</v>
      </c>
    </row>
    <row r="48" spans="1:16">
      <c r="A48" s="6">
        <v>37</v>
      </c>
      <c r="C48" s="461" t="s">
        <v>940</v>
      </c>
      <c r="D48" s="35">
        <v>595618.26032400515</v>
      </c>
      <c r="F48" s="35">
        <v>144258.64363099993</v>
      </c>
      <c r="G48" s="278">
        <v>3.1E-2</v>
      </c>
      <c r="H48" s="228">
        <f t="shared" si="13"/>
        <v>4472.0179525609974</v>
      </c>
      <c r="I48" s="228">
        <f t="shared" si="7"/>
        <v>600090.27827656618</v>
      </c>
      <c r="J48" s="278">
        <v>3.1E-2</v>
      </c>
      <c r="K48" s="228">
        <f t="shared" si="8"/>
        <v>18602.798626573553</v>
      </c>
      <c r="L48" s="228">
        <f t="shared" si="9"/>
        <v>618693.07690313971</v>
      </c>
      <c r="M48" s="278">
        <v>3.1E-2</v>
      </c>
      <c r="N48" s="380">
        <f t="shared" si="10"/>
        <v>19179.485383997329</v>
      </c>
      <c r="O48" s="380">
        <f t="shared" si="12"/>
        <v>637872.56228713703</v>
      </c>
      <c r="P48" s="228">
        <f t="shared" si="11"/>
        <v>42254.301963131882</v>
      </c>
    </row>
    <row r="49" spans="1:16">
      <c r="A49" s="6">
        <v>38</v>
      </c>
      <c r="C49" s="461" t="s">
        <v>952</v>
      </c>
      <c r="D49" s="35">
        <v>18538.699999999993</v>
      </c>
      <c r="F49" s="35">
        <v>3423.8999999999992</v>
      </c>
      <c r="G49" s="278">
        <v>3.1E-2</v>
      </c>
      <c r="H49" s="228">
        <f t="shared" si="13"/>
        <v>106.14089999999997</v>
      </c>
      <c r="I49" s="228">
        <f t="shared" si="7"/>
        <v>18644.840899999992</v>
      </c>
      <c r="J49" s="278">
        <v>3.1E-2</v>
      </c>
      <c r="K49" s="228">
        <f t="shared" si="8"/>
        <v>577.99006789999976</v>
      </c>
      <c r="L49" s="228">
        <f t="shared" si="9"/>
        <v>19222.83096789999</v>
      </c>
      <c r="M49" s="278">
        <v>3.1E-2</v>
      </c>
      <c r="N49" s="380">
        <f t="shared" si="10"/>
        <v>595.90776000489973</v>
      </c>
      <c r="O49" s="380">
        <f t="shared" si="12"/>
        <v>19818.738727904889</v>
      </c>
      <c r="P49" s="228">
        <f t="shared" si="11"/>
        <v>1280.0387279048994</v>
      </c>
    </row>
    <row r="50" spans="1:16">
      <c r="A50" s="6">
        <v>39</v>
      </c>
      <c r="C50" s="461" t="s">
        <v>941</v>
      </c>
      <c r="D50" s="35">
        <v>216222.84648300009</v>
      </c>
      <c r="F50" s="35">
        <v>58968.791257000055</v>
      </c>
      <c r="G50" s="278">
        <v>3.1E-2</v>
      </c>
      <c r="H50" s="228">
        <f t="shared" si="13"/>
        <v>1828.0325289670018</v>
      </c>
      <c r="I50" s="228">
        <f t="shared" si="7"/>
        <v>218050.8790119671</v>
      </c>
      <c r="J50" s="278">
        <v>3.1E-2</v>
      </c>
      <c r="K50" s="228">
        <f t="shared" si="8"/>
        <v>6759.5772493709801</v>
      </c>
      <c r="L50" s="228">
        <f t="shared" si="9"/>
        <v>224810.45626133808</v>
      </c>
      <c r="M50" s="278">
        <v>3.1E-2</v>
      </c>
      <c r="N50" s="380">
        <f t="shared" si="10"/>
        <v>6969.1241441014809</v>
      </c>
      <c r="O50" s="380">
        <f t="shared" si="12"/>
        <v>231779.58040543957</v>
      </c>
      <c r="P50" s="228">
        <f t="shared" si="11"/>
        <v>15556.733922439462</v>
      </c>
    </row>
    <row r="51" spans="1:16">
      <c r="A51" s="6">
        <v>40</v>
      </c>
      <c r="C51" s="461" t="s">
        <v>942</v>
      </c>
      <c r="D51" s="35">
        <v>9325.1699999999946</v>
      </c>
      <c r="F51" s="35">
        <v>4589.6200000000008</v>
      </c>
      <c r="G51" s="278">
        <v>3.1E-2</v>
      </c>
      <c r="H51" s="228">
        <f t="shared" si="13"/>
        <v>142.27822000000003</v>
      </c>
      <c r="I51" s="228">
        <f t="shared" si="7"/>
        <v>9467.4482199999948</v>
      </c>
      <c r="J51" s="278">
        <v>3.1E-2</v>
      </c>
      <c r="K51" s="228">
        <f t="shared" si="8"/>
        <v>293.49089481999982</v>
      </c>
      <c r="L51" s="228">
        <f t="shared" si="9"/>
        <v>9760.9391148199938</v>
      </c>
      <c r="M51" s="278">
        <v>3.1E-2</v>
      </c>
      <c r="N51" s="380">
        <f t="shared" si="10"/>
        <v>302.58911255941979</v>
      </c>
      <c r="O51" s="380">
        <f t="shared" si="12"/>
        <v>10063.528227379413</v>
      </c>
      <c r="P51" s="228">
        <f t="shared" si="11"/>
        <v>738.35822737941965</v>
      </c>
    </row>
    <row r="52" spans="1:16">
      <c r="A52" s="6">
        <v>41</v>
      </c>
      <c r="C52" s="461" t="s">
        <v>943</v>
      </c>
      <c r="D52" s="35">
        <v>764674.29755901697</v>
      </c>
      <c r="F52" s="35">
        <v>203272.48417499993</v>
      </c>
      <c r="G52" s="278">
        <v>3.1E-2</v>
      </c>
      <c r="H52" s="228">
        <f t="shared" si="13"/>
        <v>6301.4470094249982</v>
      </c>
      <c r="I52" s="228">
        <f t="shared" si="7"/>
        <v>770975.74456844199</v>
      </c>
      <c r="J52" s="278">
        <v>3.1E-2</v>
      </c>
      <c r="K52" s="228">
        <f t="shared" si="8"/>
        <v>23900.248081621703</v>
      </c>
      <c r="L52" s="228">
        <f t="shared" si="9"/>
        <v>794875.99265006371</v>
      </c>
      <c r="M52" s="278">
        <v>3.1E-2</v>
      </c>
      <c r="N52" s="380">
        <f t="shared" si="10"/>
        <v>24641.155772151975</v>
      </c>
      <c r="O52" s="380">
        <f t="shared" si="12"/>
        <v>819517.14842221572</v>
      </c>
      <c r="P52" s="228">
        <f t="shared" si="11"/>
        <v>54842.850863198677</v>
      </c>
    </row>
    <row r="53" spans="1:16">
      <c r="A53" s="6">
        <v>42</v>
      </c>
      <c r="C53" s="461" t="s">
        <v>944</v>
      </c>
      <c r="D53" s="35">
        <v>879038.63501599082</v>
      </c>
      <c r="F53" s="35">
        <v>258998.25900699937</v>
      </c>
      <c r="G53" s="278">
        <v>3.1E-2</v>
      </c>
      <c r="H53" s="228">
        <f t="shared" si="13"/>
        <v>8028.9460292169806</v>
      </c>
      <c r="I53" s="228">
        <f t="shared" si="7"/>
        <v>887067.5810452078</v>
      </c>
      <c r="J53" s="278">
        <v>3.1E-2</v>
      </c>
      <c r="K53" s="228">
        <f t="shared" si="8"/>
        <v>27499.095012401442</v>
      </c>
      <c r="L53" s="228">
        <f t="shared" si="9"/>
        <v>914566.67605760926</v>
      </c>
      <c r="M53" s="278">
        <v>3.1E-2</v>
      </c>
      <c r="N53" s="380">
        <f t="shared" si="10"/>
        <v>28351.566957785886</v>
      </c>
      <c r="O53" s="380">
        <f t="shared" si="12"/>
        <v>942918.24301539513</v>
      </c>
      <c r="P53" s="228">
        <f t="shared" si="11"/>
        <v>63879.60799940431</v>
      </c>
    </row>
    <row r="54" spans="1:16">
      <c r="A54" s="6">
        <v>43</v>
      </c>
      <c r="C54" s="461" t="s">
        <v>953</v>
      </c>
      <c r="D54" s="35">
        <v>61214.120000000185</v>
      </c>
      <c r="F54" s="35">
        <v>19514.749999999964</v>
      </c>
      <c r="G54" s="278">
        <v>3.1E-2</v>
      </c>
      <c r="H54" s="228">
        <f t="shared" si="13"/>
        <v>604.95724999999891</v>
      </c>
      <c r="I54" s="228">
        <f t="shared" si="7"/>
        <v>61819.077250000184</v>
      </c>
      <c r="J54" s="278">
        <v>3.1E-2</v>
      </c>
      <c r="K54" s="228">
        <f t="shared" si="8"/>
        <v>1916.3913947500057</v>
      </c>
      <c r="L54" s="228">
        <f t="shared" si="9"/>
        <v>63735.468644750188</v>
      </c>
      <c r="M54" s="278">
        <v>3.1E-2</v>
      </c>
      <c r="N54" s="380">
        <f t="shared" si="10"/>
        <v>1975.7995279872557</v>
      </c>
      <c r="O54" s="380">
        <f t="shared" si="12"/>
        <v>65711.268172737444</v>
      </c>
      <c r="P54" s="228">
        <f t="shared" si="11"/>
        <v>4497.1481727372602</v>
      </c>
    </row>
    <row r="55" spans="1:16">
      <c r="A55" s="6">
        <v>44</v>
      </c>
      <c r="C55" s="461" t="s">
        <v>945</v>
      </c>
      <c r="D55" s="35">
        <v>359204.24000000238</v>
      </c>
      <c r="F55" s="35">
        <v>103198.70999999999</v>
      </c>
      <c r="G55" s="278">
        <v>3.1E-2</v>
      </c>
      <c r="H55" s="228">
        <f t="shared" si="13"/>
        <v>3199.1600099999996</v>
      </c>
      <c r="I55" s="228">
        <f t="shared" si="7"/>
        <v>362403.40001000237</v>
      </c>
      <c r="J55" s="278">
        <v>3.1E-2</v>
      </c>
      <c r="K55" s="228">
        <f t="shared" si="8"/>
        <v>11234.505400310074</v>
      </c>
      <c r="L55" s="228">
        <f t="shared" si="9"/>
        <v>373637.90541031247</v>
      </c>
      <c r="M55" s="278">
        <v>3.1E-2</v>
      </c>
      <c r="N55" s="380">
        <f t="shared" si="10"/>
        <v>11582.775067719685</v>
      </c>
      <c r="O55" s="380">
        <f t="shared" si="12"/>
        <v>385220.68047803215</v>
      </c>
      <c r="P55" s="228">
        <f t="shared" si="11"/>
        <v>26016.440478029759</v>
      </c>
    </row>
    <row r="56" spans="1:16">
      <c r="A56" s="6">
        <v>45</v>
      </c>
      <c r="C56" s="461" t="s">
        <v>946</v>
      </c>
      <c r="D56" s="35">
        <v>96110.140000000392</v>
      </c>
      <c r="F56" s="35">
        <v>19496.73000000004</v>
      </c>
      <c r="G56" s="278">
        <v>3.1E-2</v>
      </c>
      <c r="H56" s="228">
        <f t="shared" si="13"/>
        <v>604.39863000000128</v>
      </c>
      <c r="I56" s="228">
        <f t="shared" si="7"/>
        <v>96714.538630000388</v>
      </c>
      <c r="J56" s="278">
        <v>3.1E-2</v>
      </c>
      <c r="K56" s="228">
        <f t="shared" si="8"/>
        <v>2998.1506975300122</v>
      </c>
      <c r="L56" s="228">
        <f t="shared" si="9"/>
        <v>99712.689327530403</v>
      </c>
      <c r="M56" s="278">
        <v>3.1E-2</v>
      </c>
      <c r="N56" s="380">
        <f t="shared" si="10"/>
        <v>3091.0933691534424</v>
      </c>
      <c r="O56" s="380">
        <f t="shared" si="12"/>
        <v>102803.78269668385</v>
      </c>
      <c r="P56" s="228">
        <f t="shared" si="11"/>
        <v>6693.6426966834561</v>
      </c>
    </row>
    <row r="57" spans="1:16">
      <c r="A57" s="6">
        <v>46</v>
      </c>
      <c r="C57" s="461" t="s">
        <v>947</v>
      </c>
      <c r="D57" s="35">
        <v>1779.60861</v>
      </c>
      <c r="F57" s="35">
        <v>222.55833600000003</v>
      </c>
      <c r="G57" s="278">
        <v>3.1E-2</v>
      </c>
      <c r="H57" s="228">
        <f t="shared" si="13"/>
        <v>6.8993084160000011</v>
      </c>
      <c r="I57" s="228">
        <f t="shared" si="7"/>
        <v>1786.5079184159999</v>
      </c>
      <c r="J57" s="278">
        <v>3.1E-2</v>
      </c>
      <c r="K57" s="228">
        <f t="shared" si="8"/>
        <v>55.381745470896</v>
      </c>
      <c r="L57" s="228">
        <f t="shared" si="9"/>
        <v>1841.889663886896</v>
      </c>
      <c r="M57" s="278">
        <v>3.1E-2</v>
      </c>
      <c r="N57" s="380">
        <f t="shared" si="10"/>
        <v>57.098579580493777</v>
      </c>
      <c r="O57" s="380">
        <f>+L57+N57</f>
        <v>1898.9882434673898</v>
      </c>
      <c r="P57" s="228">
        <f t="shared" si="11"/>
        <v>119.37963346738977</v>
      </c>
    </row>
    <row r="58" spans="1:16">
      <c r="A58" s="6">
        <v>47</v>
      </c>
      <c r="C58" s="21">
        <v>29210</v>
      </c>
      <c r="D58" s="35">
        <v>387.61039200000005</v>
      </c>
      <c r="F58" s="35">
        <v>0</v>
      </c>
      <c r="G58" s="278">
        <v>3.1E-2</v>
      </c>
      <c r="H58" s="228">
        <f t="shared" si="13"/>
        <v>0</v>
      </c>
      <c r="I58" s="228">
        <f>+D58+H58</f>
        <v>387.61039200000005</v>
      </c>
      <c r="J58" s="278">
        <v>3.1E-2</v>
      </c>
      <c r="K58" s="228">
        <f t="shared" si="8"/>
        <v>12.015922152000002</v>
      </c>
      <c r="L58" s="228">
        <f t="shared" si="9"/>
        <v>399.62631415200008</v>
      </c>
      <c r="M58" s="278">
        <v>3.1E-2</v>
      </c>
      <c r="N58" s="380">
        <f t="shared" si="10"/>
        <v>12.388415738712002</v>
      </c>
      <c r="O58" s="380">
        <f>+L58+N58</f>
        <v>412.01472989071209</v>
      </c>
      <c r="P58" s="228">
        <f t="shared" si="11"/>
        <v>24.404337890712004</v>
      </c>
    </row>
    <row r="59" spans="1:16">
      <c r="A59" s="6">
        <v>48</v>
      </c>
      <c r="C59" s="21">
        <v>29260</v>
      </c>
      <c r="D59" s="35">
        <v>28313.028782999991</v>
      </c>
      <c r="F59" s="35">
        <v>0</v>
      </c>
      <c r="G59" s="278">
        <v>3.1E-2</v>
      </c>
      <c r="H59" s="228">
        <f t="shared" si="13"/>
        <v>0</v>
      </c>
      <c r="I59" s="228">
        <f t="shared" si="7"/>
        <v>28313.028782999991</v>
      </c>
      <c r="J59" s="278">
        <v>3.1E-2</v>
      </c>
      <c r="K59" s="228">
        <f t="shared" si="8"/>
        <v>877.70389227299972</v>
      </c>
      <c r="L59" s="228">
        <f t="shared" si="9"/>
        <v>29190.73267527299</v>
      </c>
      <c r="M59" s="278">
        <v>3.1E-2</v>
      </c>
      <c r="N59" s="380">
        <f t="shared" si="10"/>
        <v>904.91271293346267</v>
      </c>
      <c r="O59" s="380">
        <f>+L59+N59</f>
        <v>30095.645388206452</v>
      </c>
      <c r="P59" s="228">
        <f t="shared" si="11"/>
        <v>1782.6166052064623</v>
      </c>
    </row>
    <row r="60" spans="1:16">
      <c r="A60" s="6">
        <v>49</v>
      </c>
      <c r="C60" s="461" t="s">
        <v>954</v>
      </c>
      <c r="D60" s="35">
        <v>2965.83</v>
      </c>
      <c r="E60" s="346"/>
      <c r="F60" s="257">
        <v>1816.1100000000001</v>
      </c>
      <c r="G60" s="466">
        <v>3.1E-2</v>
      </c>
      <c r="H60" s="467">
        <f t="shared" si="13"/>
        <v>56.299410000000002</v>
      </c>
      <c r="I60" s="467">
        <f t="shared" si="7"/>
        <v>3022.12941</v>
      </c>
      <c r="J60" s="466">
        <v>3.1E-2</v>
      </c>
      <c r="K60" s="467">
        <f t="shared" si="8"/>
        <v>93.686011710000002</v>
      </c>
      <c r="L60" s="467">
        <f>+I60+K60</f>
        <v>3115.81542171</v>
      </c>
      <c r="M60" s="466">
        <v>3.1E-2</v>
      </c>
      <c r="N60" s="468">
        <f>+L60*M60</f>
        <v>96.590278073009998</v>
      </c>
      <c r="O60" s="468">
        <f>+L60+N60</f>
        <v>3212.4056997830098</v>
      </c>
      <c r="P60" s="467">
        <f t="shared" si="11"/>
        <v>246.57569978300998</v>
      </c>
    </row>
    <row r="61" spans="1:16">
      <c r="A61" s="6">
        <v>50</v>
      </c>
      <c r="D61" s="465">
        <f>SUM(D38:D60)</f>
        <v>8859248.0217900351</v>
      </c>
      <c r="F61" s="465">
        <f>SUM(F38:F60)</f>
        <v>2308180.6871949974</v>
      </c>
      <c r="H61" s="465">
        <f>SUM(H38:H60)</f>
        <v>71553.601303044925</v>
      </c>
      <c r="I61" s="465">
        <f>SUM(I38:I60)</f>
        <v>8930801.6230930816</v>
      </c>
      <c r="K61" s="465">
        <f>SUM(K38:K60)</f>
        <v>276854.8503158855</v>
      </c>
      <c r="L61" s="465">
        <f>SUM(L38:L60)</f>
        <v>9207656.4734089654</v>
      </c>
      <c r="N61" s="465">
        <f>SUM(N38:N60)</f>
        <v>285437.35067567788</v>
      </c>
      <c r="O61" s="465">
        <f>SUM(O38:O60)</f>
        <v>9493093.8240846451</v>
      </c>
      <c r="P61" s="465">
        <f>SUM(P38:P60)</f>
        <v>633845.80229460832</v>
      </c>
    </row>
    <row r="64" spans="1:16" ht="16.5" thickBot="1"/>
    <row r="65" spans="1:16">
      <c r="B65" s="1281" t="s">
        <v>1138</v>
      </c>
      <c r="C65" s="1282"/>
      <c r="D65" s="1282"/>
      <c r="E65" s="1283"/>
    </row>
    <row r="66" spans="1:16">
      <c r="B66" s="1284"/>
      <c r="C66" s="1285"/>
      <c r="D66" s="1285"/>
      <c r="E66" s="1286"/>
    </row>
    <row r="67" spans="1:16">
      <c r="B67" s="1284"/>
      <c r="C67" s="1285"/>
      <c r="D67" s="1285"/>
      <c r="E67" s="1286"/>
    </row>
    <row r="68" spans="1:16" ht="16.5" thickBot="1">
      <c r="B68" s="1287"/>
      <c r="C68" s="1288"/>
      <c r="D68" s="1288"/>
      <c r="E68" s="1289"/>
    </row>
    <row r="69" spans="1:16">
      <c r="A69" s="13" t="s">
        <v>879</v>
      </c>
    </row>
    <row r="70" spans="1:16">
      <c r="A70" s="6">
        <v>51</v>
      </c>
      <c r="B70" s="430" t="s">
        <v>1139</v>
      </c>
      <c r="F70" s="192">
        <v>1036861.35</v>
      </c>
      <c r="J70" s="278">
        <v>0</v>
      </c>
      <c r="K70" s="192">
        <f>+F70*J70</f>
        <v>0</v>
      </c>
      <c r="L70" s="192">
        <f>+F70+K70</f>
        <v>1036861.35</v>
      </c>
      <c r="M70" s="278">
        <v>0</v>
      </c>
      <c r="N70" s="4">
        <f>+L70*M70</f>
        <v>0</v>
      </c>
      <c r="O70" s="192">
        <f>+L70+N70</f>
        <v>1036861.35</v>
      </c>
      <c r="P70" s="192">
        <f>+O70-F70</f>
        <v>0</v>
      </c>
    </row>
    <row r="71" spans="1:16">
      <c r="A71" s="6">
        <v>52</v>
      </c>
      <c r="B71" s="430" t="s">
        <v>1140</v>
      </c>
      <c r="F71" s="192">
        <v>115428.85</v>
      </c>
      <c r="J71" s="278">
        <v>0.04</v>
      </c>
      <c r="K71" s="192">
        <f>+F71*J71</f>
        <v>4617.1540000000005</v>
      </c>
      <c r="L71" s="192">
        <f t="shared" ref="L71:L84" si="14">+F71+K71</f>
        <v>120046.004</v>
      </c>
      <c r="M71" s="278">
        <v>0.04</v>
      </c>
      <c r="N71" s="4">
        <f t="shared" ref="N71:N84" si="15">+L71*M71</f>
        <v>4801.8401599999997</v>
      </c>
      <c r="O71" s="192">
        <f t="shared" ref="O71:O84" si="16">+L71+N71</f>
        <v>124847.84416000001</v>
      </c>
      <c r="P71" s="192">
        <f t="shared" ref="P71:P84" si="17">+O71-F71</f>
        <v>9418.994160000002</v>
      </c>
    </row>
    <row r="72" spans="1:16">
      <c r="A72" s="6">
        <v>53</v>
      </c>
      <c r="B72" s="430" t="s">
        <v>1141</v>
      </c>
      <c r="F72" s="192">
        <v>423581.69</v>
      </c>
      <c r="J72" s="278">
        <v>0.04</v>
      </c>
      <c r="K72" s="192">
        <f t="shared" ref="K72:K84" si="18">+F72*J72</f>
        <v>16943.267599999999</v>
      </c>
      <c r="L72" s="192">
        <f t="shared" si="14"/>
        <v>440524.95760000002</v>
      </c>
      <c r="M72" s="278">
        <v>0.04</v>
      </c>
      <c r="N72" s="4">
        <f t="shared" si="15"/>
        <v>17620.998304000001</v>
      </c>
      <c r="O72" s="192">
        <f t="shared" si="16"/>
        <v>458145.95590400003</v>
      </c>
      <c r="P72" s="192">
        <f t="shared" si="17"/>
        <v>34564.265904000029</v>
      </c>
    </row>
    <row r="73" spans="1:16">
      <c r="A73" s="6">
        <v>54</v>
      </c>
      <c r="B73" s="430" t="s">
        <v>1142</v>
      </c>
      <c r="F73" s="192">
        <v>208965.05</v>
      </c>
      <c r="J73" s="278">
        <v>0.04</v>
      </c>
      <c r="K73" s="192">
        <f t="shared" si="18"/>
        <v>8358.601999999999</v>
      </c>
      <c r="L73" s="192">
        <f t="shared" si="14"/>
        <v>217323.652</v>
      </c>
      <c r="M73" s="278">
        <v>0.04</v>
      </c>
      <c r="N73" s="4">
        <f t="shared" si="15"/>
        <v>8692.9460799999997</v>
      </c>
      <c r="O73" s="192">
        <f t="shared" si="16"/>
        <v>226016.59808</v>
      </c>
      <c r="P73" s="192">
        <f t="shared" si="17"/>
        <v>17051.548080000008</v>
      </c>
    </row>
    <row r="74" spans="1:16">
      <c r="A74" s="6">
        <v>55</v>
      </c>
      <c r="B74" s="430" t="s">
        <v>1143</v>
      </c>
      <c r="F74" s="192">
        <v>153109.92000000001</v>
      </c>
      <c r="J74" s="278">
        <v>0.04</v>
      </c>
      <c r="K74" s="192">
        <f t="shared" si="18"/>
        <v>6124.3968000000004</v>
      </c>
      <c r="L74" s="192">
        <f t="shared" si="14"/>
        <v>159234.3168</v>
      </c>
      <c r="M74" s="278">
        <v>0.04</v>
      </c>
      <c r="N74" s="4">
        <f t="shared" si="15"/>
        <v>6369.3726720000004</v>
      </c>
      <c r="O74" s="192">
        <f t="shared" si="16"/>
        <v>165603.689472</v>
      </c>
      <c r="P74" s="192">
        <f t="shared" si="17"/>
        <v>12493.769471999985</v>
      </c>
    </row>
    <row r="75" spans="1:16">
      <c r="A75" s="6">
        <v>56</v>
      </c>
      <c r="B75" s="430" t="s">
        <v>1144</v>
      </c>
      <c r="F75" s="192">
        <v>84449.44</v>
      </c>
      <c r="J75" s="278">
        <v>0.04</v>
      </c>
      <c r="K75" s="192">
        <f t="shared" si="18"/>
        <v>3377.9776000000002</v>
      </c>
      <c r="L75" s="192">
        <f t="shared" si="14"/>
        <v>87827.417600000001</v>
      </c>
      <c r="M75" s="278">
        <v>0.04</v>
      </c>
      <c r="N75" s="4">
        <f t="shared" si="15"/>
        <v>3513.096704</v>
      </c>
      <c r="O75" s="192">
        <f t="shared" si="16"/>
        <v>91340.514303999997</v>
      </c>
      <c r="P75" s="192">
        <f t="shared" si="17"/>
        <v>6891.0743039999943</v>
      </c>
    </row>
    <row r="76" spans="1:16">
      <c r="A76" s="6">
        <v>57</v>
      </c>
      <c r="B76" s="430" t="s">
        <v>1145</v>
      </c>
      <c r="F76" s="192">
        <v>1024805.29</v>
      </c>
      <c r="J76" s="278">
        <v>0.04</v>
      </c>
      <c r="K76" s="192">
        <f t="shared" si="18"/>
        <v>40992.211600000002</v>
      </c>
      <c r="L76" s="192">
        <f t="shared" si="14"/>
        <v>1065797.5016000001</v>
      </c>
      <c r="M76" s="278">
        <v>0.04</v>
      </c>
      <c r="N76" s="4">
        <f t="shared" si="15"/>
        <v>42631.900064000001</v>
      </c>
      <c r="O76" s="192">
        <f t="shared" si="16"/>
        <v>1108429.401664</v>
      </c>
      <c r="P76" s="192">
        <f t="shared" si="17"/>
        <v>83624.111663999967</v>
      </c>
    </row>
    <row r="77" spans="1:16">
      <c r="A77" s="6">
        <v>58</v>
      </c>
      <c r="B77" s="430" t="s">
        <v>1146</v>
      </c>
      <c r="F77" s="192">
        <v>208344.85</v>
      </c>
      <c r="J77" s="278">
        <v>0.04</v>
      </c>
      <c r="K77" s="192">
        <f t="shared" si="18"/>
        <v>8333.7939999999999</v>
      </c>
      <c r="L77" s="192">
        <f t="shared" si="14"/>
        <v>216678.644</v>
      </c>
      <c r="M77" s="278">
        <v>0.04</v>
      </c>
      <c r="N77" s="4">
        <f t="shared" si="15"/>
        <v>8667.1457599999994</v>
      </c>
      <c r="O77" s="192">
        <f t="shared" si="16"/>
        <v>225345.78976000001</v>
      </c>
      <c r="P77" s="192">
        <f t="shared" si="17"/>
        <v>17000.939760000008</v>
      </c>
    </row>
    <row r="78" spans="1:16">
      <c r="A78" s="6">
        <v>59</v>
      </c>
      <c r="B78" s="430" t="s">
        <v>1147</v>
      </c>
      <c r="F78" s="192">
        <v>159743.65</v>
      </c>
      <c r="J78" s="278">
        <v>0.04</v>
      </c>
      <c r="K78" s="192">
        <f t="shared" si="18"/>
        <v>6389.7460000000001</v>
      </c>
      <c r="L78" s="192">
        <f t="shared" si="14"/>
        <v>166133.39600000001</v>
      </c>
      <c r="M78" s="278">
        <v>0.04</v>
      </c>
      <c r="N78" s="4">
        <f t="shared" si="15"/>
        <v>6645.3358400000006</v>
      </c>
      <c r="O78" s="192">
        <f t="shared" si="16"/>
        <v>172778.73184000002</v>
      </c>
      <c r="P78" s="192">
        <f t="shared" si="17"/>
        <v>13035.081840000028</v>
      </c>
    </row>
    <row r="79" spans="1:16">
      <c r="A79" s="6">
        <v>60</v>
      </c>
      <c r="B79" s="430" t="s">
        <v>1148</v>
      </c>
      <c r="F79" s="192">
        <v>250606.53</v>
      </c>
      <c r="J79" s="278">
        <v>0.04</v>
      </c>
      <c r="K79" s="192">
        <f t="shared" si="18"/>
        <v>10024.261200000001</v>
      </c>
      <c r="L79" s="192">
        <f t="shared" si="14"/>
        <v>260630.79120000001</v>
      </c>
      <c r="M79" s="278">
        <v>0.04</v>
      </c>
      <c r="N79" s="4">
        <f t="shared" si="15"/>
        <v>10425.231648000001</v>
      </c>
      <c r="O79" s="192">
        <f t="shared" si="16"/>
        <v>271056.02284799999</v>
      </c>
      <c r="P79" s="192">
        <f t="shared" si="17"/>
        <v>20449.492847999994</v>
      </c>
    </row>
    <row r="80" spans="1:16">
      <c r="A80" s="6">
        <v>61</v>
      </c>
      <c r="B80" s="430" t="s">
        <v>1149</v>
      </c>
      <c r="F80" s="192">
        <v>39737.97</v>
      </c>
      <c r="J80" s="278">
        <v>0.04</v>
      </c>
      <c r="K80" s="192">
        <f t="shared" si="18"/>
        <v>1589.5188000000001</v>
      </c>
      <c r="L80" s="192">
        <f t="shared" si="14"/>
        <v>41327.488799999999</v>
      </c>
      <c r="M80" s="278">
        <v>0.04</v>
      </c>
      <c r="N80" s="4">
        <f t="shared" si="15"/>
        <v>1653.0995519999999</v>
      </c>
      <c r="O80" s="192">
        <f t="shared" si="16"/>
        <v>42980.588351999999</v>
      </c>
      <c r="P80" s="192">
        <f t="shared" si="17"/>
        <v>3242.6183519999977</v>
      </c>
    </row>
    <row r="81" spans="1:16">
      <c r="A81" s="6">
        <v>62</v>
      </c>
      <c r="B81" s="430" t="s">
        <v>1150</v>
      </c>
      <c r="F81" s="192">
        <v>29392.47</v>
      </c>
      <c r="J81" s="278">
        <v>0.04</v>
      </c>
      <c r="K81" s="192">
        <f t="shared" si="18"/>
        <v>1175.6988000000001</v>
      </c>
      <c r="L81" s="192">
        <f t="shared" si="14"/>
        <v>30568.168799999999</v>
      </c>
      <c r="M81" s="278">
        <v>0.04</v>
      </c>
      <c r="N81" s="4">
        <f t="shared" si="15"/>
        <v>1222.726752</v>
      </c>
      <c r="O81" s="192">
        <f t="shared" si="16"/>
        <v>31790.895551999998</v>
      </c>
      <c r="P81" s="192">
        <f t="shared" si="17"/>
        <v>2398.425551999997</v>
      </c>
    </row>
    <row r="82" spans="1:16">
      <c r="A82" s="6">
        <v>63</v>
      </c>
      <c r="B82" s="430" t="s">
        <v>1151</v>
      </c>
      <c r="F82" s="192">
        <v>558174.55000000005</v>
      </c>
      <c r="J82" s="278">
        <v>0.04</v>
      </c>
      <c r="K82" s="192">
        <f t="shared" si="18"/>
        <v>22326.982000000004</v>
      </c>
      <c r="L82" s="192">
        <f t="shared" si="14"/>
        <v>580501.53200000001</v>
      </c>
      <c r="M82" s="278">
        <v>0.04</v>
      </c>
      <c r="N82" s="4">
        <f t="shared" si="15"/>
        <v>23220.061280000002</v>
      </c>
      <c r="O82" s="192">
        <f t="shared" si="16"/>
        <v>603721.59328000003</v>
      </c>
      <c r="P82" s="192">
        <f t="shared" si="17"/>
        <v>45547.043279999983</v>
      </c>
    </row>
    <row r="83" spans="1:16">
      <c r="A83" s="6">
        <v>64</v>
      </c>
      <c r="B83" s="430" t="s">
        <v>1152</v>
      </c>
      <c r="F83" s="192">
        <v>54777.31</v>
      </c>
      <c r="J83" s="278">
        <v>0.04</v>
      </c>
      <c r="K83" s="192">
        <f t="shared" si="18"/>
        <v>2191.0924</v>
      </c>
      <c r="L83" s="192">
        <f t="shared" si="14"/>
        <v>56968.402399999999</v>
      </c>
      <c r="M83" s="278">
        <v>0.04</v>
      </c>
      <c r="N83" s="4">
        <f t="shared" si="15"/>
        <v>2278.7360960000001</v>
      </c>
      <c r="O83" s="192">
        <f t="shared" si="16"/>
        <v>59247.138496</v>
      </c>
      <c r="P83" s="192">
        <f t="shared" si="17"/>
        <v>4469.8284960000019</v>
      </c>
    </row>
    <row r="84" spans="1:16">
      <c r="A84" s="6">
        <v>65</v>
      </c>
      <c r="B84" s="430" t="s">
        <v>1153</v>
      </c>
      <c r="F84" s="469">
        <v>9465.5499999999993</v>
      </c>
      <c r="J84" s="278">
        <v>0.04</v>
      </c>
      <c r="K84" s="192">
        <f t="shared" si="18"/>
        <v>378.62199999999996</v>
      </c>
      <c r="L84" s="192">
        <f t="shared" si="14"/>
        <v>9844.1719999999987</v>
      </c>
      <c r="M84" s="278">
        <v>0.04</v>
      </c>
      <c r="N84" s="4">
        <f t="shared" si="15"/>
        <v>393.76687999999996</v>
      </c>
      <c r="O84" s="192">
        <f t="shared" si="16"/>
        <v>10237.938879999998</v>
      </c>
      <c r="P84" s="192">
        <f t="shared" si="17"/>
        <v>772.38887999999861</v>
      </c>
    </row>
    <row r="85" spans="1:16">
      <c r="F85" s="470">
        <f>SUM(F70:F84)</f>
        <v>4357444.47</v>
      </c>
      <c r="K85" s="470">
        <f>SUM(K70:K84)</f>
        <v>132823.3248</v>
      </c>
      <c r="L85" s="470">
        <f>SUM(L70:L84)</f>
        <v>4490267.7948000003</v>
      </c>
      <c r="N85" s="470">
        <f>SUM(N70:N84)</f>
        <v>138136.25779200002</v>
      </c>
      <c r="O85" s="470">
        <f>SUM(O70:O84)</f>
        <v>4628404.052592</v>
      </c>
      <c r="P85" s="470">
        <f>SUM(P70:P84)</f>
        <v>270959.58259200002</v>
      </c>
    </row>
    <row r="86" spans="1:16">
      <c r="K86" s="192"/>
    </row>
    <row r="87" spans="1:16">
      <c r="A87" s="808" t="s">
        <v>1577</v>
      </c>
    </row>
    <row r="88" spans="1:16">
      <c r="A88" s="808" t="s">
        <v>2093</v>
      </c>
    </row>
    <row r="89" spans="1:16">
      <c r="A89" s="808" t="s">
        <v>2094</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Name:&amp;A&amp;R&amp;"Times New Roman,Regular"&amp;9 26678.897\4829-5163-7600.v1</oddFooter>
  </headerFooter>
  <rowBreaks count="2" manualBreakCount="2">
    <brk id="36" max="15" man="1"/>
    <brk id="63" max="15" man="1"/>
  </rowBreak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19"/>
  <sheetViews>
    <sheetView view="pageBreakPreview" zoomScale="90" zoomScaleNormal="100" zoomScaleSheetLayoutView="90" workbookViewId="0">
      <selection activeCell="A3" sqref="A3:J3"/>
    </sheetView>
  </sheetViews>
  <sheetFormatPr defaultColWidth="9.140625" defaultRowHeight="15.75"/>
  <cols>
    <col min="1" max="1" width="8.85546875" style="6" bestFit="1" customWidth="1"/>
    <col min="2" max="2" width="36.28515625" style="4" bestFit="1" customWidth="1"/>
    <col min="3" max="3" width="25.7109375" style="4" bestFit="1" customWidth="1"/>
    <col min="4" max="4" width="8.140625" style="4" bestFit="1" customWidth="1"/>
    <col min="5" max="5" width="9" style="4" bestFit="1" customWidth="1"/>
    <col min="6" max="6" width="6.42578125" style="4" customWidth="1"/>
    <col min="7" max="7" width="5.42578125" style="4" bestFit="1" customWidth="1"/>
    <col min="8" max="8" width="10" style="4" bestFit="1" customWidth="1"/>
    <col min="9" max="9" width="5.42578125" style="4" bestFit="1" customWidth="1"/>
    <col min="10" max="10" width="11.140625" style="4" bestFit="1" customWidth="1"/>
    <col min="11" max="11" width="16.85546875" style="4" bestFit="1" customWidth="1"/>
    <col min="12" max="12" width="14.5703125" style="4" bestFit="1" customWidth="1"/>
    <col min="13" max="16384" width="9.140625" style="4"/>
  </cols>
  <sheetData>
    <row r="1" spans="1:12">
      <c r="C1" s="1244" t="s">
        <v>53</v>
      </c>
      <c r="D1" s="1244"/>
      <c r="E1" s="1244"/>
      <c r="F1" s="1244"/>
      <c r="G1" s="1244"/>
      <c r="H1" s="1244"/>
      <c r="I1" s="1244"/>
      <c r="J1" s="1244"/>
    </row>
    <row r="2" spans="1:12">
      <c r="C2" s="1244" t="s">
        <v>1659</v>
      </c>
      <c r="D2" s="1244"/>
      <c r="E2" s="1244"/>
      <c r="F2" s="1244"/>
      <c r="G2" s="1244"/>
      <c r="H2" s="1244"/>
      <c r="I2" s="1244"/>
      <c r="J2" s="1244"/>
    </row>
    <row r="3" spans="1:12">
      <c r="C3" s="1244" t="s">
        <v>1674</v>
      </c>
      <c r="D3" s="1244"/>
      <c r="E3" s="1244"/>
      <c r="F3" s="1244"/>
      <c r="G3" s="1244"/>
      <c r="H3" s="1244"/>
      <c r="I3" s="1244"/>
      <c r="J3" s="1244"/>
    </row>
    <row r="4" spans="1:12">
      <c r="C4" s="1244" t="s">
        <v>1678</v>
      </c>
      <c r="D4" s="1244"/>
      <c r="E4" s="1244"/>
      <c r="F4" s="1244"/>
      <c r="G4" s="1244"/>
      <c r="H4" s="1244"/>
      <c r="I4" s="1244"/>
      <c r="J4" s="1244"/>
    </row>
    <row r="5" spans="1:12">
      <c r="C5" s="1244" t="s">
        <v>971</v>
      </c>
      <c r="D5" s="1244"/>
      <c r="E5" s="1244"/>
      <c r="F5" s="1244"/>
      <c r="G5" s="1244"/>
      <c r="H5" s="1244"/>
      <c r="I5" s="1244"/>
      <c r="J5" s="1244"/>
    </row>
    <row r="9" spans="1:12" s="6" customFormat="1">
      <c r="B9" s="6" t="s">
        <v>1689</v>
      </c>
      <c r="C9" s="6" t="s">
        <v>1687</v>
      </c>
      <c r="D9" s="6" t="s">
        <v>1688</v>
      </c>
      <c r="E9" s="6" t="s">
        <v>1691</v>
      </c>
      <c r="F9" s="6" t="s">
        <v>1692</v>
      </c>
      <c r="G9" s="6" t="s">
        <v>1701</v>
      </c>
      <c r="H9" s="6" t="s">
        <v>1702</v>
      </c>
      <c r="I9" s="6" t="s">
        <v>1703</v>
      </c>
      <c r="J9" s="6" t="s">
        <v>1704</v>
      </c>
      <c r="K9" s="6" t="s">
        <v>1705</v>
      </c>
      <c r="L9" s="6" t="s">
        <v>1706</v>
      </c>
    </row>
    <row r="10" spans="1:12" s="6" customFormat="1" ht="16.5" thickBot="1">
      <c r="A10" s="13" t="s">
        <v>879</v>
      </c>
      <c r="B10" s="472" t="s">
        <v>1157</v>
      </c>
      <c r="C10" s="472" t="s">
        <v>1158</v>
      </c>
      <c r="D10" s="472" t="s">
        <v>921</v>
      </c>
      <c r="E10" s="472"/>
      <c r="F10" s="472" t="s">
        <v>1159</v>
      </c>
      <c r="G10" s="472" t="s">
        <v>1160</v>
      </c>
      <c r="H10" s="472" t="s">
        <v>1159</v>
      </c>
      <c r="I10" s="472" t="s">
        <v>1160</v>
      </c>
      <c r="J10" s="473">
        <v>2017</v>
      </c>
      <c r="K10" s="417" t="s">
        <v>1161</v>
      </c>
      <c r="L10" s="417" t="s">
        <v>1162</v>
      </c>
    </row>
    <row r="12" spans="1:12">
      <c r="A12" s="6">
        <v>1</v>
      </c>
      <c r="B12" s="4" t="s">
        <v>1154</v>
      </c>
      <c r="C12" s="4" t="s">
        <v>1155</v>
      </c>
      <c r="D12" s="228">
        <v>48.08</v>
      </c>
      <c r="E12" s="192">
        <v>2080</v>
      </c>
      <c r="F12" s="4">
        <v>100</v>
      </c>
      <c r="G12" s="4">
        <v>0</v>
      </c>
      <c r="H12" s="474">
        <f>D12*E12*F12*0.01</f>
        <v>100006.40000000001</v>
      </c>
      <c r="I12" s="4">
        <f>D12*E12*G12*0.01</f>
        <v>0</v>
      </c>
      <c r="J12" s="407">
        <f>H12</f>
        <v>100006.40000000001</v>
      </c>
      <c r="K12" s="278">
        <f>'State Allocation Formulas'!L25</f>
        <v>0.77239999999999998</v>
      </c>
      <c r="L12" s="192">
        <f>+J12*K12</f>
        <v>77244.943360000005</v>
      </c>
    </row>
    <row r="13" spans="1:12">
      <c r="A13" s="6">
        <v>2</v>
      </c>
      <c r="B13" s="4" t="s">
        <v>1154</v>
      </c>
      <c r="C13" s="4" t="s">
        <v>1156</v>
      </c>
      <c r="D13" s="228">
        <v>35.54</v>
      </c>
      <c r="E13" s="192">
        <v>2080</v>
      </c>
      <c r="F13" s="4">
        <v>100</v>
      </c>
      <c r="G13" s="4">
        <v>0</v>
      </c>
      <c r="H13" s="474">
        <f>D13*E13*F13*0.01</f>
        <v>73923.199999999997</v>
      </c>
      <c r="I13" s="4">
        <f>D13*E13*G13*0.01</f>
        <v>0</v>
      </c>
      <c r="J13" s="407">
        <f>H13</f>
        <v>73923.199999999997</v>
      </c>
      <c r="K13" s="278">
        <f>'State Allocation Formulas'!L25</f>
        <v>0.77239999999999998</v>
      </c>
      <c r="L13" s="192">
        <f>+J13*K13</f>
        <v>57098.279679999992</v>
      </c>
    </row>
    <row r="14" spans="1:12" ht="16.5" thickBot="1">
      <c r="A14" s="6">
        <v>3</v>
      </c>
      <c r="B14" s="4" t="s">
        <v>1154</v>
      </c>
      <c r="C14" s="4" t="s">
        <v>1156</v>
      </c>
      <c r="D14" s="228">
        <v>30.76</v>
      </c>
      <c r="E14" s="192">
        <v>2080</v>
      </c>
      <c r="F14" s="4">
        <v>100</v>
      </c>
      <c r="G14" s="4">
        <v>0</v>
      </c>
      <c r="H14" s="475">
        <f>D14*E14*F14*0.01</f>
        <v>63980.800000000003</v>
      </c>
      <c r="I14" s="4">
        <f>D14*E14*G14*0.01</f>
        <v>0</v>
      </c>
      <c r="J14" s="476">
        <f>H14</f>
        <v>63980.800000000003</v>
      </c>
      <c r="K14" s="278">
        <f>'State Allocation Formulas'!L25</f>
        <v>0.77239999999999998</v>
      </c>
      <c r="L14" s="192">
        <f>+J14*K14</f>
        <v>49418.769919999999</v>
      </c>
    </row>
    <row r="15" spans="1:12">
      <c r="D15" s="228"/>
      <c r="E15" s="192"/>
      <c r="H15" s="474">
        <f>SUM(H12:H14)</f>
        <v>237910.40000000002</v>
      </c>
      <c r="J15" s="477">
        <f>SUM(J12:J14)</f>
        <v>237910.40000000002</v>
      </c>
      <c r="L15" s="478">
        <f>SUM(L12:L14)</f>
        <v>183761.99296</v>
      </c>
    </row>
    <row r="16" spans="1:12">
      <c r="A16" s="6">
        <v>4</v>
      </c>
      <c r="C16" s="4" t="s">
        <v>1163</v>
      </c>
      <c r="K16" s="278">
        <v>0.45</v>
      </c>
      <c r="L16" s="41">
        <f>+L15*K16</f>
        <v>82692.896831999999</v>
      </c>
    </row>
    <row r="17" spans="1:12">
      <c r="A17" s="6">
        <v>5</v>
      </c>
      <c r="C17" s="4" t="s">
        <v>1164</v>
      </c>
      <c r="K17" s="278">
        <v>7.1499999999999994E-2</v>
      </c>
      <c r="L17" s="41">
        <f>+L15*K17</f>
        <v>13138.982496639999</v>
      </c>
    </row>
    <row r="19" spans="1:12">
      <c r="A19" s="6">
        <v>6</v>
      </c>
      <c r="B19" s="4" t="s">
        <v>1651</v>
      </c>
      <c r="L19" s="479">
        <f>+L15+L16+L17</f>
        <v>279593.87228864001</v>
      </c>
    </row>
  </sheetData>
  <mergeCells count="5">
    <mergeCell ref="C1:J1"/>
    <mergeCell ref="C2:J2"/>
    <mergeCell ref="C3:J3"/>
    <mergeCell ref="C4:J4"/>
    <mergeCell ref="C5:J5"/>
  </mergeCells>
  <printOptions horizontalCentered="1"/>
  <pageMargins left="0.7" right="0.7" top="0.75" bottom="0.75" header="0.3" footer="0.3"/>
  <pageSetup scale="77" fitToHeight="0" orientation="landscape" r:id="rId1"/>
  <headerFooter scaleWithDoc="0" alignWithMargins="0">
    <oddHeader>&amp;RPage &amp;P of &amp;N</oddHeader>
    <oddFooter>&amp;LElectronic Tab Name:&amp;A&amp;R&amp;"Times New Roman,Regular"&amp;9 26678.897\4829-5163-7600.v1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8"/>
  <sheetViews>
    <sheetView zoomScale="115" zoomScaleNormal="115" zoomScaleSheetLayoutView="85" workbookViewId="0">
      <selection sqref="A1:M1"/>
    </sheetView>
  </sheetViews>
  <sheetFormatPr defaultColWidth="9.140625" defaultRowHeight="15"/>
  <cols>
    <col min="1" max="1" width="4.28515625" style="915" customWidth="1"/>
    <col min="2" max="2" width="35.140625" style="915" bestFit="1" customWidth="1"/>
    <col min="3" max="3" width="2.5703125" style="915" customWidth="1"/>
    <col min="4" max="4" width="16.140625" style="915" customWidth="1"/>
    <col min="5" max="5" width="2.5703125" style="915" customWidth="1"/>
    <col min="6" max="6" width="16.140625" style="915" customWidth="1"/>
    <col min="7" max="7" width="2.5703125" style="915" customWidth="1"/>
    <col min="8" max="8" width="16.140625" style="915" customWidth="1"/>
    <col min="9" max="9" width="2.5703125" style="915" customWidth="1"/>
    <col min="10" max="10" width="16.140625" style="915" customWidth="1"/>
    <col min="11" max="11" width="2.5703125" style="915" customWidth="1"/>
    <col min="12" max="12" width="16.140625" style="915" customWidth="1"/>
    <col min="13" max="13" width="2.5703125" style="915" customWidth="1"/>
    <col min="14" max="14" width="11.85546875" style="915" bestFit="1" customWidth="1"/>
    <col min="15" max="15" width="9.5703125" style="915" customWidth="1"/>
    <col min="16" max="16" width="11.85546875" style="915" customWidth="1"/>
    <col min="17" max="17" width="20" style="915" bestFit="1" customWidth="1"/>
    <col min="18" max="18" width="10.5703125" style="915" bestFit="1" customWidth="1"/>
    <col min="19" max="16384" width="9.140625" style="915"/>
  </cols>
  <sheetData>
    <row r="1" spans="1:18">
      <c r="A1" s="1241" t="s">
        <v>53</v>
      </c>
      <c r="B1" s="1241"/>
      <c r="C1" s="1241"/>
      <c r="D1" s="1241"/>
      <c r="E1" s="1241"/>
      <c r="F1" s="1241"/>
      <c r="G1" s="1241"/>
      <c r="H1" s="1241"/>
      <c r="I1" s="1241"/>
      <c r="J1" s="1241"/>
      <c r="K1" s="1241"/>
      <c r="L1" s="1241"/>
      <c r="M1" s="1241"/>
      <c r="N1" s="971"/>
      <c r="O1" s="1119"/>
    </row>
    <row r="2" spans="1:18">
      <c r="A2" s="1242" t="s">
        <v>2282</v>
      </c>
      <c r="B2" s="1242"/>
      <c r="C2" s="1242"/>
      <c r="D2" s="1242"/>
      <c r="E2" s="1242"/>
      <c r="F2" s="1242"/>
      <c r="G2" s="1242"/>
      <c r="H2" s="1242"/>
      <c r="I2" s="1242"/>
      <c r="J2" s="1242"/>
      <c r="K2" s="1242"/>
      <c r="L2" s="1242"/>
      <c r="M2" s="1242"/>
      <c r="N2" s="1120"/>
      <c r="O2" s="1119"/>
    </row>
    <row r="3" spans="1:18">
      <c r="A3" s="1240" t="s">
        <v>972</v>
      </c>
      <c r="B3" s="1240"/>
      <c r="C3" s="1240"/>
      <c r="D3" s="1240"/>
      <c r="E3" s="1240"/>
      <c r="F3" s="1240"/>
      <c r="G3" s="1240"/>
      <c r="H3" s="1240"/>
      <c r="I3" s="1240"/>
      <c r="J3" s="1240"/>
      <c r="K3" s="1240"/>
      <c r="L3" s="1240"/>
      <c r="M3" s="1240"/>
      <c r="N3" s="1120"/>
      <c r="O3" s="1119"/>
    </row>
    <row r="4" spans="1:18">
      <c r="A4" s="1117" t="s">
        <v>2281</v>
      </c>
      <c r="B4" s="1117"/>
      <c r="C4" s="1117"/>
      <c r="D4" s="1117"/>
      <c r="E4" s="1117"/>
      <c r="F4" s="1117"/>
      <c r="G4" s="1117"/>
      <c r="H4" s="1117"/>
      <c r="I4" s="1117"/>
      <c r="J4" s="1117"/>
      <c r="K4" s="1117"/>
      <c r="L4" s="1117"/>
      <c r="M4" s="1118"/>
      <c r="N4" s="1121"/>
    </row>
    <row r="5" spans="1:18">
      <c r="A5" s="1121"/>
      <c r="B5" s="1121"/>
      <c r="C5" s="1121"/>
      <c r="D5" s="1122">
        <v>42735</v>
      </c>
      <c r="E5" s="1121"/>
      <c r="F5" s="1123"/>
      <c r="G5" s="1124"/>
      <c r="H5" s="1123" t="s">
        <v>62</v>
      </c>
      <c r="I5" s="1121"/>
      <c r="J5" s="970" t="s">
        <v>956</v>
      </c>
      <c r="K5" s="1123"/>
      <c r="L5" s="1125" t="s">
        <v>1626</v>
      </c>
      <c r="M5" s="1121"/>
      <c r="N5" s="1121"/>
    </row>
    <row r="6" spans="1:18">
      <c r="A6" s="1121"/>
      <c r="B6" s="1121"/>
      <c r="C6" s="1121"/>
      <c r="D6" s="1126" t="s">
        <v>0</v>
      </c>
      <c r="E6" s="1121"/>
      <c r="F6" s="1123" t="s">
        <v>2161</v>
      </c>
      <c r="G6" s="1121"/>
      <c r="H6" s="1125" t="s">
        <v>63</v>
      </c>
      <c r="I6" s="1121"/>
      <c r="J6" s="1123" t="s">
        <v>2277</v>
      </c>
      <c r="K6" s="1123"/>
      <c r="L6" s="1123" t="s">
        <v>2279</v>
      </c>
      <c r="M6" s="1121"/>
      <c r="N6" s="1121"/>
    </row>
    <row r="7" spans="1:18">
      <c r="A7" s="1121"/>
      <c r="B7" s="1121"/>
      <c r="C7" s="1121"/>
      <c r="D7" s="1127" t="s">
        <v>2280</v>
      </c>
      <c r="E7" s="1121"/>
      <c r="F7" s="1128" t="s">
        <v>1</v>
      </c>
      <c r="G7" s="1121"/>
      <c r="H7" s="1128" t="s">
        <v>52</v>
      </c>
      <c r="I7" s="1121"/>
      <c r="J7" s="1128" t="s">
        <v>2278</v>
      </c>
      <c r="K7" s="1123"/>
      <c r="L7" s="1128" t="s">
        <v>55</v>
      </c>
      <c r="M7" s="1121"/>
      <c r="N7" s="1121"/>
    </row>
    <row r="8" spans="1:18">
      <c r="A8" s="1121"/>
      <c r="B8" s="1129"/>
      <c r="C8" s="1121"/>
      <c r="D8" s="1130" t="s">
        <v>2</v>
      </c>
      <c r="E8" s="1121"/>
      <c r="F8" s="1130" t="s">
        <v>3</v>
      </c>
      <c r="G8" s="1121"/>
      <c r="H8" s="1125" t="s">
        <v>4</v>
      </c>
      <c r="I8" s="1121"/>
      <c r="J8" s="1130" t="s">
        <v>5</v>
      </c>
      <c r="K8" s="1130"/>
      <c r="L8" s="1130" t="s">
        <v>6</v>
      </c>
      <c r="M8" s="1121"/>
      <c r="N8" s="1121"/>
    </row>
    <row r="9" spans="1:18">
      <c r="A9" s="1123"/>
      <c r="B9" s="1129" t="s">
        <v>7</v>
      </c>
      <c r="C9" s="1121"/>
      <c r="D9" s="1121"/>
      <c r="E9" s="1121"/>
      <c r="F9" s="1131"/>
      <c r="G9" s="1121"/>
      <c r="H9" s="1121"/>
      <c r="I9" s="1121"/>
      <c r="J9" s="1121"/>
      <c r="K9" s="1121"/>
      <c r="L9" s="1121"/>
      <c r="M9" s="1121"/>
      <c r="N9" s="1121"/>
    </row>
    <row r="10" spans="1:18">
      <c r="A10" s="1132">
        <f t="shared" ref="A10:A13" ca="1" si="0">+MAX(OFFSET($A$6,0,0,ROW($A10)-ROW($A$6),1))+1</f>
        <v>1</v>
      </c>
      <c r="B10" s="1133" t="s">
        <v>24</v>
      </c>
      <c r="C10" s="1120"/>
      <c r="D10" s="1134">
        <f>+'Operating Report'!G17</f>
        <v>182902832.87</v>
      </c>
      <c r="E10" s="1135"/>
      <c r="F10" s="1136">
        <f>+'6) Adj Detail'!AC12</f>
        <v>12168128.690294765</v>
      </c>
      <c r="G10" s="1135"/>
      <c r="H10" s="1137">
        <f>+D10+F10</f>
        <v>195070961.56029478</v>
      </c>
      <c r="I10" s="1135"/>
      <c r="J10" s="1137">
        <f>+'3) Rev Req Calc'!F17-J11</f>
        <v>-9907826.5857626684</v>
      </c>
      <c r="K10" s="1137"/>
      <c r="L10" s="1137">
        <f>+H10+J10</f>
        <v>185163134.9745321</v>
      </c>
      <c r="M10" s="1138"/>
      <c r="N10" s="1139"/>
      <c r="P10" s="1140"/>
      <c r="Q10" s="1140"/>
    </row>
    <row r="11" spans="1:18">
      <c r="A11" s="1132">
        <f t="shared" ca="1" si="0"/>
        <v>2</v>
      </c>
      <c r="B11" s="1133" t="s">
        <v>25</v>
      </c>
      <c r="C11" s="1120"/>
      <c r="D11" s="1141">
        <f>+'Operating Report'!G21</f>
        <v>21216454.399999999</v>
      </c>
      <c r="E11" s="1135"/>
      <c r="F11" s="1136">
        <f>+'6) Adj Detail'!AC13</f>
        <v>1787452.100000002</v>
      </c>
      <c r="G11" s="1135"/>
      <c r="H11" s="1137">
        <f>+D11+F11</f>
        <v>23003906.5</v>
      </c>
      <c r="I11" s="1135"/>
      <c r="J11" s="1136">
        <v>0</v>
      </c>
      <c r="K11" s="1136"/>
      <c r="L11" s="1137">
        <f>+H11+J11</f>
        <v>23003906.5</v>
      </c>
      <c r="M11" s="1138"/>
      <c r="N11" s="1142"/>
      <c r="P11" s="1140"/>
      <c r="Q11" s="1140"/>
    </row>
    <row r="12" spans="1:18">
      <c r="A12" s="1132">
        <f t="shared" ca="1" si="0"/>
        <v>3</v>
      </c>
      <c r="B12" s="1133" t="s">
        <v>26</v>
      </c>
      <c r="C12" s="1120"/>
      <c r="D12" s="1143">
        <f>+'Operating Report'!G26-'Operating Report'!G21</f>
        <v>1011374.9600000009</v>
      </c>
      <c r="E12" s="1135"/>
      <c r="F12" s="1144">
        <f>+'6) Adj Detail'!AC14</f>
        <v>87366</v>
      </c>
      <c r="G12" s="1135"/>
      <c r="H12" s="1145">
        <f>+D12+F12</f>
        <v>1098740.9600000009</v>
      </c>
      <c r="I12" s="1135"/>
      <c r="J12" s="1144"/>
      <c r="K12" s="1136"/>
      <c r="L12" s="1145">
        <f>+H12+J12</f>
        <v>1098740.9600000009</v>
      </c>
      <c r="M12" s="1138"/>
      <c r="N12" s="1142"/>
      <c r="P12" s="1140"/>
      <c r="Q12" s="1140"/>
    </row>
    <row r="13" spans="1:18">
      <c r="A13" s="1132">
        <f t="shared" ca="1" si="0"/>
        <v>4</v>
      </c>
      <c r="B13" s="1146" t="s">
        <v>1354</v>
      </c>
      <c r="C13" s="1120"/>
      <c r="D13" s="1141">
        <f>SUM(D10:D12)</f>
        <v>205130662.23000002</v>
      </c>
      <c r="E13" s="1135"/>
      <c r="F13" s="1141">
        <f>SUM(F10:F12)</f>
        <v>14042946.790294766</v>
      </c>
      <c r="G13" s="1135"/>
      <c r="H13" s="1141">
        <f>SUM(H10:H12)</f>
        <v>219173609.02029479</v>
      </c>
      <c r="I13" s="1135"/>
      <c r="J13" s="1141">
        <f>SUM(J10:J12)</f>
        <v>-9907826.5857626684</v>
      </c>
      <c r="K13" s="1141"/>
      <c r="L13" s="1141">
        <f>SUM(L10:L12)</f>
        <v>209265782.43453211</v>
      </c>
      <c r="M13" s="1138"/>
      <c r="N13" s="1142"/>
      <c r="P13" s="1140"/>
      <c r="Q13" s="1140"/>
    </row>
    <row r="14" spans="1:18">
      <c r="A14" s="1123"/>
      <c r="B14" s="1133"/>
      <c r="C14" s="1120"/>
      <c r="D14" s="1141"/>
      <c r="E14" s="1135"/>
      <c r="F14" s="1141"/>
      <c r="G14" s="1135"/>
      <c r="H14" s="1141"/>
      <c r="I14" s="1135"/>
      <c r="J14" s="1141"/>
      <c r="K14" s="1141"/>
      <c r="L14" s="1141"/>
      <c r="M14" s="1138"/>
      <c r="N14" s="1142"/>
      <c r="P14" s="1140"/>
      <c r="Q14" s="1140"/>
      <c r="R14" s="1140"/>
    </row>
    <row r="15" spans="1:18">
      <c r="A15" s="1123"/>
      <c r="B15" s="1133" t="s">
        <v>8</v>
      </c>
      <c r="C15" s="1120"/>
      <c r="D15" s="1141"/>
      <c r="E15" s="1135"/>
      <c r="F15" s="1141"/>
      <c r="G15" s="1135"/>
      <c r="H15" s="1141"/>
      <c r="I15" s="1135"/>
      <c r="J15" s="1141"/>
      <c r="K15" s="1141"/>
      <c r="L15" s="1141"/>
      <c r="M15" s="1138"/>
      <c r="N15" s="1142"/>
      <c r="P15" s="1140"/>
      <c r="Q15" s="1140"/>
    </row>
    <row r="16" spans="1:18">
      <c r="A16" s="1132">
        <f t="shared" ref="A16:A26" ca="1" si="1">+MAX(OFFSET($A$6,0,0,ROW($A16)-ROW($A$6),1))+1</f>
        <v>5</v>
      </c>
      <c r="B16" s="1133" t="s">
        <v>1355</v>
      </c>
      <c r="C16" s="1120"/>
      <c r="D16" s="1141">
        <f>+'Operating Report'!G36</f>
        <v>103593864.52000001</v>
      </c>
      <c r="E16" s="1135"/>
      <c r="F16" s="1136">
        <f>+'6) Adj Detail'!AC18</f>
        <v>4981076.2482290007</v>
      </c>
      <c r="G16" s="1135"/>
      <c r="H16" s="1137">
        <f t="shared" ref="H16:H28" si="2">+D16+F16</f>
        <v>108574940.76822901</v>
      </c>
      <c r="I16" s="1135"/>
      <c r="J16" s="1136"/>
      <c r="K16" s="1136"/>
      <c r="L16" s="1137">
        <f t="shared" ref="L16:L28" si="3">+H16+J16</f>
        <v>108574940.76822901</v>
      </c>
      <c r="M16" s="1138"/>
      <c r="N16" s="1142"/>
      <c r="P16" s="1140"/>
      <c r="Q16" s="1147"/>
      <c r="R16" s="1140"/>
    </row>
    <row r="17" spans="1:18">
      <c r="A17" s="1132">
        <f t="shared" ca="1" si="1"/>
        <v>6</v>
      </c>
      <c r="B17" s="1133" t="s">
        <v>1356</v>
      </c>
      <c r="C17" s="1120"/>
      <c r="D17" s="1141">
        <f>+'Operating Report'!G52</f>
        <v>16946340.530000001</v>
      </c>
      <c r="E17" s="1135"/>
      <c r="F17" s="1136">
        <f>+'6) Adj Detail'!AC19</f>
        <v>569020.20394274406</v>
      </c>
      <c r="G17" s="1135"/>
      <c r="H17" s="1137">
        <f t="shared" si="2"/>
        <v>17515360.733942747</v>
      </c>
      <c r="I17" s="1135"/>
      <c r="J17" s="1136">
        <f>+J13*('4) Conversion Factor'!D10+'4) Conversion Factor'!D11)</f>
        <v>-401465.13325510331</v>
      </c>
      <c r="K17" s="1136"/>
      <c r="L17" s="1137">
        <f t="shared" si="3"/>
        <v>17113895.600687645</v>
      </c>
      <c r="M17" s="1138"/>
      <c r="N17" s="1142"/>
      <c r="P17" s="1140"/>
    </row>
    <row r="18" spans="1:18">
      <c r="A18" s="1132">
        <f t="shared" ca="1" si="1"/>
        <v>7</v>
      </c>
      <c r="B18" s="1148" t="s">
        <v>28</v>
      </c>
      <c r="C18" s="1120"/>
      <c r="D18" s="1141">
        <f>+'Operating Report'!G56</f>
        <v>518988.74</v>
      </c>
      <c r="E18" s="1135"/>
      <c r="F18" s="1136">
        <f>+'6) Adj Detail'!AC20</f>
        <v>7924.4900311199854</v>
      </c>
      <c r="G18" s="1135"/>
      <c r="H18" s="1137">
        <f t="shared" si="2"/>
        <v>526913.23003112001</v>
      </c>
      <c r="I18" s="1135"/>
      <c r="J18" s="1136"/>
      <c r="K18" s="1136"/>
      <c r="L18" s="1137">
        <f t="shared" si="3"/>
        <v>526913.23003112001</v>
      </c>
      <c r="M18" s="1138"/>
      <c r="N18" s="1149"/>
      <c r="P18" s="928"/>
      <c r="R18" s="928"/>
    </row>
    <row r="19" spans="1:18">
      <c r="A19" s="1132">
        <f t="shared" ca="1" si="1"/>
        <v>8</v>
      </c>
      <c r="B19" s="1148" t="s">
        <v>9</v>
      </c>
      <c r="C19" s="1120"/>
      <c r="D19" s="1141">
        <f>+'Operating Report'!G84</f>
        <v>16326277.390000001</v>
      </c>
      <c r="E19" s="1135"/>
      <c r="F19" s="1136">
        <f>+'6) Adj Detail'!AC21</f>
        <v>1035790.2433509474</v>
      </c>
      <c r="G19" s="1135"/>
      <c r="H19" s="1137">
        <f t="shared" si="2"/>
        <v>17362067.63335095</v>
      </c>
      <c r="I19" s="1135"/>
      <c r="J19" s="1136"/>
      <c r="K19" s="1136"/>
      <c r="L19" s="1137">
        <f t="shared" si="3"/>
        <v>17362067.63335095</v>
      </c>
      <c r="M19" s="1138"/>
      <c r="N19" s="1149"/>
      <c r="P19" s="917"/>
      <c r="R19" s="928"/>
    </row>
    <row r="20" spans="1:18">
      <c r="A20" s="1132">
        <f t="shared" ca="1" si="1"/>
        <v>9</v>
      </c>
      <c r="B20" s="1148" t="s">
        <v>29</v>
      </c>
      <c r="C20" s="1120"/>
      <c r="D20" s="1141">
        <f>+'Operating Report'!G92</f>
        <v>6383108.290000001</v>
      </c>
      <c r="E20" s="1135"/>
      <c r="F20" s="1136">
        <f>+'6) Adj Detail'!AC22</f>
        <v>97959.389842095843</v>
      </c>
      <c r="G20" s="1135"/>
      <c r="H20" s="1137">
        <f t="shared" si="2"/>
        <v>6481067.6798420968</v>
      </c>
      <c r="I20" s="1135"/>
      <c r="J20" s="1136">
        <f>+J13*'4) Conversion Factor'!D9</f>
        <v>-37580.731013546414</v>
      </c>
      <c r="K20" s="1136"/>
      <c r="L20" s="1137">
        <f t="shared" si="3"/>
        <v>6443486.9488285501</v>
      </c>
      <c r="M20" s="1138"/>
      <c r="N20" s="1149"/>
      <c r="R20" s="928"/>
    </row>
    <row r="21" spans="1:18">
      <c r="A21" s="1132">
        <f t="shared" ca="1" si="1"/>
        <v>10</v>
      </c>
      <c r="B21" s="1148" t="s">
        <v>10</v>
      </c>
      <c r="C21" s="1120"/>
      <c r="D21" s="1141">
        <f>+'Operating Report'!G99</f>
        <v>824095.64</v>
      </c>
      <c r="E21" s="1135"/>
      <c r="F21" s="1136">
        <f>+'6) Adj Detail'!AC23</f>
        <v>-533333.36</v>
      </c>
      <c r="G21" s="1135"/>
      <c r="H21" s="1137">
        <f t="shared" si="2"/>
        <v>290762.28000000003</v>
      </c>
      <c r="I21" s="1135"/>
      <c r="J21" s="1136"/>
      <c r="K21" s="1136"/>
      <c r="L21" s="1137">
        <f t="shared" si="3"/>
        <v>290762.28000000003</v>
      </c>
      <c r="M21" s="1138"/>
      <c r="N21" s="1149"/>
    </row>
    <row r="22" spans="1:18">
      <c r="A22" s="1132">
        <f t="shared" ca="1" si="1"/>
        <v>11</v>
      </c>
      <c r="B22" s="1148" t="s">
        <v>11</v>
      </c>
      <c r="C22" s="1120"/>
      <c r="D22" s="1141">
        <f>+'Operating Report'!G106</f>
        <v>4916.59</v>
      </c>
      <c r="E22" s="1135"/>
      <c r="F22" s="1136">
        <f>+'6) Adj Detail'!AC24</f>
        <v>-4916.5899999999992</v>
      </c>
      <c r="G22" s="1135"/>
      <c r="H22" s="1137">
        <f t="shared" si="2"/>
        <v>0</v>
      </c>
      <c r="I22" s="1135"/>
      <c r="J22" s="1136"/>
      <c r="K22" s="1136"/>
      <c r="L22" s="1137">
        <f t="shared" si="3"/>
        <v>0</v>
      </c>
      <c r="M22" s="1138"/>
      <c r="N22" s="1149"/>
    </row>
    <row r="23" spans="1:18">
      <c r="A23" s="1132">
        <f t="shared" ca="1" si="1"/>
        <v>12</v>
      </c>
      <c r="B23" s="1148" t="s">
        <v>12</v>
      </c>
      <c r="C23" s="1120"/>
      <c r="D23" s="1141">
        <f>+'Operating Report'!G122</f>
        <v>16459957.959999999</v>
      </c>
      <c r="E23" s="1135"/>
      <c r="F23" s="1136">
        <f>+'6) Adj Detail'!AC25</f>
        <v>-1545904.041495488</v>
      </c>
      <c r="G23" s="1135"/>
      <c r="H23" s="1137">
        <f t="shared" si="2"/>
        <v>14914053.91850451</v>
      </c>
      <c r="I23" s="1135"/>
      <c r="J23" s="1136"/>
      <c r="K23" s="1136"/>
      <c r="L23" s="1137">
        <f t="shared" si="3"/>
        <v>14914053.91850451</v>
      </c>
      <c r="M23" s="1138"/>
      <c r="N23" s="1139"/>
    </row>
    <row r="24" spans="1:18">
      <c r="A24" s="1132">
        <f t="shared" ca="1" si="1"/>
        <v>13</v>
      </c>
      <c r="B24" s="1148" t="s">
        <v>30</v>
      </c>
      <c r="C24" s="1120"/>
      <c r="D24" s="1134">
        <f>+'Operating Report'!G134</f>
        <v>19218442.350000001</v>
      </c>
      <c r="E24" s="1135"/>
      <c r="F24" s="1136">
        <f>+'6) Adj Detail'!AC26</f>
        <v>137956.12692475005</v>
      </c>
      <c r="G24" s="1135"/>
      <c r="H24" s="1137">
        <f t="shared" si="2"/>
        <v>19356398.476924751</v>
      </c>
      <c r="I24" s="1135"/>
      <c r="J24" s="1136"/>
      <c r="K24" s="1136"/>
      <c r="L24" s="1137">
        <f t="shared" si="3"/>
        <v>19356398.476924751</v>
      </c>
      <c r="M24" s="1138"/>
      <c r="N24" s="1142"/>
    </row>
    <row r="25" spans="1:18" ht="15.75">
      <c r="A25" s="1132">
        <f t="shared" ca="1" si="1"/>
        <v>14</v>
      </c>
      <c r="B25" s="1148" t="s">
        <v>31</v>
      </c>
      <c r="C25" s="1120"/>
      <c r="D25" s="909"/>
      <c r="E25" s="1135"/>
      <c r="F25" s="1136">
        <f>+'6) Adj Detail'!AC27</f>
        <v>-1924599.6579680298</v>
      </c>
      <c r="G25" s="1135"/>
      <c r="H25" s="1137">
        <f t="shared" si="2"/>
        <v>-1924599.6579680298</v>
      </c>
      <c r="I25" s="1135"/>
      <c r="J25" s="1136"/>
      <c r="K25" s="1136"/>
      <c r="L25" s="1137">
        <f t="shared" si="3"/>
        <v>-1924599.6579680298</v>
      </c>
      <c r="M25" s="1138"/>
      <c r="N25" s="1142"/>
      <c r="P25" s="337"/>
      <c r="Q25" s="1225"/>
    </row>
    <row r="26" spans="1:18">
      <c r="A26" s="1132">
        <f t="shared" ca="1" si="1"/>
        <v>15</v>
      </c>
      <c r="B26" s="1148" t="s">
        <v>32</v>
      </c>
      <c r="C26" s="1120"/>
      <c r="D26" s="1141">
        <f>+'Operating Report'!G139</f>
        <v>4095633.81</v>
      </c>
      <c r="E26" s="1135"/>
      <c r="F26" s="1136">
        <f>+'6) Adj Detail'!AC28</f>
        <v>112694.5701709725</v>
      </c>
      <c r="G26" s="1135"/>
      <c r="H26" s="1137">
        <f t="shared" si="2"/>
        <v>4208328.380170973</v>
      </c>
      <c r="I26" s="1135"/>
      <c r="J26" s="1136"/>
      <c r="K26" s="1136"/>
      <c r="L26" s="1137">
        <f t="shared" si="3"/>
        <v>4208328.380170973</v>
      </c>
      <c r="M26" s="1138"/>
      <c r="N26" s="1142"/>
    </row>
    <row r="27" spans="1:18">
      <c r="A27" s="1132">
        <f ca="1">+MAX(OFFSET($A$6,0,0,ROW($A27)-ROW($A$6),1))+1</f>
        <v>16</v>
      </c>
      <c r="B27" s="1148" t="s">
        <v>33</v>
      </c>
      <c r="C27" s="1120"/>
      <c r="D27" s="1141">
        <f>+'Operating Report'!G148</f>
        <v>4154374.23</v>
      </c>
      <c r="E27" s="1135"/>
      <c r="F27" s="1136">
        <f>+'6) Adj Detail'!AC29</f>
        <v>888652.8535748719</v>
      </c>
      <c r="G27" s="1135"/>
      <c r="H27" s="1137">
        <f t="shared" si="2"/>
        <v>5043027.0835748715</v>
      </c>
      <c r="I27" s="1135"/>
      <c r="J27" s="1136">
        <f>(+J13-J17-J20)*0.21</f>
        <v>-1988443.951513744</v>
      </c>
      <c r="K27" s="1136"/>
      <c r="L27" s="1137">
        <f t="shared" si="3"/>
        <v>3054583.1320611276</v>
      </c>
      <c r="M27" s="1138"/>
      <c r="N27" s="1142"/>
    </row>
    <row r="28" spans="1:18">
      <c r="A28" s="1132">
        <f ca="1">+MAX(OFFSET($A$6,0,0,ROW($A28)-ROW($A$6),1))+1</f>
        <v>17</v>
      </c>
      <c r="B28" s="1148" t="s">
        <v>2163</v>
      </c>
      <c r="C28" s="1120"/>
      <c r="D28" s="1143">
        <v>0</v>
      </c>
      <c r="E28" s="1135"/>
      <c r="F28" s="1144">
        <f>+'6) Adj Detail'!AC30</f>
        <v>-1870216.4053865711</v>
      </c>
      <c r="G28" s="1135"/>
      <c r="H28" s="1145">
        <f t="shared" si="2"/>
        <v>-1870216.4053865711</v>
      </c>
      <c r="I28" s="1135"/>
      <c r="J28" s="1144"/>
      <c r="K28" s="1136"/>
      <c r="L28" s="1145">
        <f t="shared" si="3"/>
        <v>-1870216.4053865711</v>
      </c>
      <c r="M28" s="1138"/>
      <c r="N28" s="1142"/>
    </row>
    <row r="29" spans="1:18">
      <c r="A29" s="1132">
        <f t="shared" ref="A29:A30" ca="1" si="4">+MAX(OFFSET($A$6,0,0,ROW($A29)-ROW($A$6),1))+1</f>
        <v>18</v>
      </c>
      <c r="B29" s="1150" t="s">
        <v>34</v>
      </c>
      <c r="C29" s="1121"/>
      <c r="D29" s="1151">
        <f>SUM(D16:D28)</f>
        <v>188526000.04999998</v>
      </c>
      <c r="E29" s="1135"/>
      <c r="F29" s="1151">
        <f>SUM(F16:F28)</f>
        <v>1952104.071216414</v>
      </c>
      <c r="G29" s="1135"/>
      <c r="H29" s="1151">
        <f>SUM(H16:H28)</f>
        <v>190478104.12121639</v>
      </c>
      <c r="I29" s="1135"/>
      <c r="J29" s="1151">
        <f>SUM(J16:J27)</f>
        <v>-2427489.8157823938</v>
      </c>
      <c r="K29" s="1137"/>
      <c r="L29" s="1151">
        <f>SUM(L16:L28)</f>
        <v>188050614.30543402</v>
      </c>
      <c r="M29" s="1138"/>
      <c r="N29" s="1139"/>
    </row>
    <row r="30" spans="1:18">
      <c r="A30" s="1132">
        <f t="shared" ca="1" si="4"/>
        <v>19</v>
      </c>
      <c r="B30" s="1150" t="s">
        <v>13</v>
      </c>
      <c r="C30" s="1121"/>
      <c r="D30" s="1137">
        <f>+D13-D29</f>
        <v>16604662.180000037</v>
      </c>
      <c r="E30" s="1135"/>
      <c r="F30" s="1137">
        <f>+F13-F29</f>
        <v>12090842.719078353</v>
      </c>
      <c r="G30" s="1137"/>
      <c r="H30" s="1137">
        <f>+H13-H29</f>
        <v>28695504.899078399</v>
      </c>
      <c r="I30" s="1135"/>
      <c r="J30" s="1137">
        <f>+J13-J29</f>
        <v>-7480336.7699802741</v>
      </c>
      <c r="K30" s="1137"/>
      <c r="L30" s="1137">
        <f>+L13-L29</f>
        <v>21215168.129098088</v>
      </c>
      <c r="M30" s="1138"/>
      <c r="N30" s="1139"/>
      <c r="P30" s="971"/>
    </row>
    <row r="31" spans="1:18">
      <c r="A31" s="1123"/>
      <c r="B31" s="1150"/>
      <c r="C31" s="1121"/>
      <c r="D31" s="1137"/>
      <c r="E31" s="1135"/>
      <c r="F31" s="1137"/>
      <c r="G31" s="1137"/>
      <c r="H31" s="1137"/>
      <c r="I31" s="1135"/>
      <c r="J31" s="1137"/>
      <c r="K31" s="1137"/>
      <c r="L31" s="1137"/>
      <c r="M31" s="1138"/>
      <c r="N31" s="1139"/>
      <c r="P31" s="971"/>
    </row>
    <row r="32" spans="1:18">
      <c r="A32" s="1123"/>
      <c r="B32" s="1150" t="s">
        <v>35</v>
      </c>
      <c r="C32" s="1120"/>
      <c r="D32" s="1136"/>
      <c r="E32" s="1135"/>
      <c r="F32" s="1136"/>
      <c r="G32" s="1135"/>
      <c r="H32" s="1136"/>
      <c r="I32" s="1135"/>
      <c r="J32" s="1136"/>
      <c r="K32" s="1136"/>
      <c r="L32" s="1136"/>
      <c r="M32" s="1138"/>
      <c r="N32" s="1149"/>
    </row>
    <row r="33" spans="1:14">
      <c r="A33" s="1132">
        <f t="shared" ref="A33:A40" ca="1" si="5">+MAX(OFFSET($A$6,0,0,ROW($A33)-ROW($A$6),1))+1</f>
        <v>20</v>
      </c>
      <c r="B33" s="1133" t="s">
        <v>37</v>
      </c>
      <c r="C33" s="1120"/>
      <c r="D33" s="1134">
        <f>+'Rate Base'!D13</f>
        <v>677314165.18981874</v>
      </c>
      <c r="E33" s="1135"/>
      <c r="F33" s="1136">
        <f>+'6) Adj Detail'!AC35</f>
        <v>7819296.8537500026</v>
      </c>
      <c r="G33" s="1135"/>
      <c r="H33" s="1137">
        <f t="shared" ref="H33:H38" si="6">+D33+F33</f>
        <v>685133462.04356873</v>
      </c>
      <c r="I33" s="1135"/>
      <c r="J33" s="1137"/>
      <c r="K33" s="1137"/>
      <c r="L33" s="1137">
        <f t="shared" ref="L33:L38" si="7">+H33+J33</f>
        <v>685133462.04356873</v>
      </c>
      <c r="M33" s="1138"/>
      <c r="N33" s="1139"/>
    </row>
    <row r="34" spans="1:14">
      <c r="A34" s="1132">
        <f t="shared" ca="1" si="5"/>
        <v>21</v>
      </c>
      <c r="B34" s="1133" t="s">
        <v>38</v>
      </c>
      <c r="C34" s="1120"/>
      <c r="D34" s="1141">
        <f>+'Rate Base'!D14</f>
        <v>-345424354.83661753</v>
      </c>
      <c r="E34" s="1135"/>
      <c r="F34" s="1136">
        <f>+'6) Adj Detail'!AC36</f>
        <v>-68978.063462375023</v>
      </c>
      <c r="G34" s="1135"/>
      <c r="H34" s="1137">
        <f t="shared" si="6"/>
        <v>-345493332.90007991</v>
      </c>
      <c r="I34" s="1135"/>
      <c r="J34" s="1137"/>
      <c r="K34" s="1137"/>
      <c r="L34" s="1137">
        <f t="shared" si="7"/>
        <v>-345493332.90007991</v>
      </c>
      <c r="M34" s="1138"/>
      <c r="N34" s="1142"/>
    </row>
    <row r="35" spans="1:14">
      <c r="A35" s="1132">
        <f t="shared" ca="1" si="5"/>
        <v>22</v>
      </c>
      <c r="B35" s="1120" t="s">
        <v>14</v>
      </c>
      <c r="C35" s="1120"/>
      <c r="D35" s="1141">
        <f>+'Rate Base'!D16</f>
        <v>-3771590.387083333</v>
      </c>
      <c r="E35" s="1135"/>
      <c r="F35" s="1136">
        <f>+'6) Adj Detail'!AC37</f>
        <v>0</v>
      </c>
      <c r="G35" s="1135"/>
      <c r="H35" s="1137">
        <f t="shared" si="6"/>
        <v>-3771590.387083333</v>
      </c>
      <c r="I35" s="1135"/>
      <c r="J35" s="1137"/>
      <c r="K35" s="1137"/>
      <c r="L35" s="1137">
        <f t="shared" si="7"/>
        <v>-3771590.387083333</v>
      </c>
      <c r="M35" s="1138"/>
      <c r="N35" s="1142"/>
    </row>
    <row r="36" spans="1:14">
      <c r="A36" s="1132">
        <f t="shared" ca="1" si="5"/>
        <v>23</v>
      </c>
      <c r="B36" s="1120" t="s">
        <v>39</v>
      </c>
      <c r="C36" s="1120"/>
      <c r="D36" s="1141">
        <f>+'Rate Base'!D17</f>
        <v>-73667038.139583334</v>
      </c>
      <c r="E36" s="1135"/>
      <c r="F36" s="1136">
        <f>+'6) Adj Detail'!AC38</f>
        <v>-39814867.198157452</v>
      </c>
      <c r="G36" s="1135"/>
      <c r="H36" s="1137">
        <f t="shared" si="6"/>
        <v>-113481905.33774078</v>
      </c>
      <c r="I36" s="1135"/>
      <c r="J36" s="1137"/>
      <c r="K36" s="1137"/>
      <c r="L36" s="1137">
        <f t="shared" si="7"/>
        <v>-113481905.33774078</v>
      </c>
      <c r="M36" s="1138"/>
      <c r="N36" s="1142"/>
    </row>
    <row r="37" spans="1:14">
      <c r="A37" s="1132">
        <f t="shared" ca="1" si="5"/>
        <v>24</v>
      </c>
      <c r="B37" s="1152" t="s">
        <v>2162</v>
      </c>
      <c r="C37" s="1120"/>
      <c r="D37" s="1141">
        <v>0</v>
      </c>
      <c r="E37" s="1135"/>
      <c r="F37" s="1136">
        <f>+'6) Adj Detail'!AC39</f>
        <v>40722803.587459832</v>
      </c>
      <c r="G37" s="1135"/>
      <c r="H37" s="1137">
        <f t="shared" si="6"/>
        <v>40722803.587459832</v>
      </c>
      <c r="I37" s="1135"/>
      <c r="J37" s="1137"/>
      <c r="K37" s="1137"/>
      <c r="L37" s="1137">
        <f t="shared" si="7"/>
        <v>40722803.587459832</v>
      </c>
      <c r="M37" s="1138"/>
      <c r="N37" s="1142"/>
    </row>
    <row r="38" spans="1:14">
      <c r="A38" s="1132">
        <f t="shared" ca="1" si="5"/>
        <v>25</v>
      </c>
      <c r="B38" s="1120" t="s">
        <v>40</v>
      </c>
      <c r="C38" s="1120"/>
      <c r="D38" s="1143">
        <f>+'Rate Base'!D18</f>
        <v>25610869.595646363</v>
      </c>
      <c r="E38" s="1135"/>
      <c r="F38" s="1144">
        <f>+'6) Adj Detail'!AC40</f>
        <v>0</v>
      </c>
      <c r="G38" s="1135"/>
      <c r="H38" s="1145">
        <f t="shared" si="6"/>
        <v>25610869.595646363</v>
      </c>
      <c r="I38" s="1135"/>
      <c r="J38" s="1145"/>
      <c r="K38" s="1137"/>
      <c r="L38" s="1145">
        <f t="shared" si="7"/>
        <v>25610869.595646363</v>
      </c>
      <c r="M38" s="1138"/>
      <c r="N38" s="1142"/>
    </row>
    <row r="39" spans="1:14">
      <c r="A39" s="1132">
        <f t="shared" ca="1" si="5"/>
        <v>26</v>
      </c>
      <c r="B39" s="1150" t="s">
        <v>36</v>
      </c>
      <c r="C39" s="1121"/>
      <c r="D39" s="1137">
        <f>SUM(D33:D38)</f>
        <v>280062051.42218089</v>
      </c>
      <c r="E39" s="1135"/>
      <c r="F39" s="1137">
        <f>SUM(F33:F38)</f>
        <v>8658255.1795900092</v>
      </c>
      <c r="G39" s="1135"/>
      <c r="H39" s="1137">
        <f>SUM(H33:H38)</f>
        <v>288720306.60177088</v>
      </c>
      <c r="I39" s="1135"/>
      <c r="J39" s="1137">
        <f>SUM(J33:J38)</f>
        <v>0</v>
      </c>
      <c r="K39" s="1137"/>
      <c r="L39" s="1137">
        <f>SUM(L33:L38)</f>
        <v>288720306.60177088</v>
      </c>
      <c r="M39" s="1138"/>
      <c r="N39" s="1139"/>
    </row>
    <row r="40" spans="1:14">
      <c r="A40" s="1132">
        <f t="shared" ca="1" si="5"/>
        <v>27</v>
      </c>
      <c r="B40" s="1150" t="s">
        <v>15</v>
      </c>
      <c r="C40" s="1120"/>
      <c r="D40" s="1153">
        <f>+D30/D39</f>
        <v>5.9289225711516548E-2</v>
      </c>
      <c r="E40" s="1135"/>
      <c r="F40" s="1135"/>
      <c r="G40" s="1135"/>
      <c r="H40" s="1153">
        <f>+H30/H39</f>
        <v>9.938859249916851E-2</v>
      </c>
      <c r="I40" s="1135"/>
      <c r="J40" s="1154"/>
      <c r="K40" s="1154"/>
      <c r="L40" s="1153">
        <f>+L30/L39</f>
        <v>7.3479999999999879E-2</v>
      </c>
      <c r="M40" s="1121"/>
      <c r="N40" s="1121"/>
    </row>
    <row r="41" spans="1:14">
      <c r="A41" s="1123"/>
      <c r="B41" s="1150"/>
      <c r="C41" s="1120"/>
      <c r="D41" s="1154"/>
      <c r="E41" s="1135"/>
      <c r="F41" s="1135"/>
      <c r="G41" s="1135"/>
      <c r="H41" s="1154"/>
      <c r="I41" s="1135"/>
      <c r="J41" s="1135"/>
      <c r="K41" s="1135"/>
      <c r="L41" s="1154"/>
      <c r="M41" s="1121"/>
      <c r="N41" s="1121"/>
    </row>
    <row r="42" spans="1:14">
      <c r="A42" s="1123"/>
      <c r="B42" s="1150" t="s">
        <v>2192</v>
      </c>
      <c r="C42" s="1120"/>
      <c r="D42" s="1155">
        <f>+(D39*'1) Lead Sheet'!$AK$15-D30)/'1) Lead Sheet'!$AI$7</f>
        <v>6397810.0058869654</v>
      </c>
      <c r="E42" s="1135"/>
      <c r="F42" s="1155">
        <f>+(F39*'1) Lead Sheet'!$AK$15-F30)/'1) Lead Sheet'!$AJ$7</f>
        <v>-15171847.476682311</v>
      </c>
      <c r="G42" s="1135"/>
      <c r="H42" s="1155">
        <f>+(H39*'1) Lead Sheet'!$AK$15-H30)/'1) Lead Sheet'!$AJ$7</f>
        <v>-9907826.5857626684</v>
      </c>
      <c r="I42" s="1135"/>
      <c r="J42" s="1135"/>
      <c r="K42" s="1135"/>
      <c r="L42" s="1154"/>
      <c r="M42" s="1121"/>
      <c r="N42" s="1121"/>
    </row>
    <row r="43" spans="1:14">
      <c r="A43" s="1121"/>
      <c r="B43" s="1150"/>
      <c r="C43" s="1120"/>
      <c r="D43" s="1156"/>
      <c r="E43" s="1121"/>
      <c r="F43" s="1121"/>
      <c r="G43" s="1121"/>
      <c r="H43" s="1156"/>
      <c r="I43" s="1121"/>
      <c r="J43" s="1121"/>
      <c r="K43" s="1121"/>
      <c r="L43" s="1156"/>
      <c r="M43" s="1121"/>
      <c r="N43" s="1121"/>
    </row>
    <row r="44" spans="1:14">
      <c r="A44" s="1157"/>
      <c r="B44" s="1157"/>
      <c r="C44" s="1157"/>
      <c r="D44" s="1157"/>
      <c r="E44" s="1157"/>
      <c r="F44" s="1157"/>
      <c r="G44" s="1157"/>
      <c r="H44" s="1157"/>
      <c r="I44" s="1157"/>
      <c r="J44" s="1157"/>
      <c r="K44" s="1157"/>
      <c r="L44" s="1157"/>
      <c r="M44" s="1157"/>
      <c r="N44" s="1157"/>
    </row>
    <row r="46" spans="1:14">
      <c r="J46" s="927"/>
    </row>
    <row r="48" spans="1:14">
      <c r="J48" s="917"/>
    </row>
  </sheetData>
  <mergeCells count="3">
    <mergeCell ref="A1:M1"/>
    <mergeCell ref="A3:M3"/>
    <mergeCell ref="A2:M2"/>
  </mergeCells>
  <printOptions horizontalCentered="1"/>
  <pageMargins left="0.25" right="0.25" top="0.5" bottom="0.75" header="0" footer="0.3"/>
  <pageSetup scale="70" orientation="portrait" r:id="rId1"/>
  <headerFooter scaleWithDoc="0" alignWithMargins="0">
    <oddFooter>&amp;R&amp;"Times New Roman,Regular"&amp;9 26678.897\4829-5163-7600.v1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9"/>
  <sheetViews>
    <sheetView workbookViewId="0">
      <selection activeCell="A3" sqref="A3:H3"/>
    </sheetView>
  </sheetViews>
  <sheetFormatPr defaultColWidth="9.140625" defaultRowHeight="15.75"/>
  <cols>
    <col min="1" max="1" width="9.140625" style="46"/>
    <col min="2" max="2" width="35.140625" style="46" bestFit="1" customWidth="1"/>
    <col min="3" max="3" width="2.85546875" style="46" customWidth="1"/>
    <col min="4" max="4" width="10.140625" style="46" bestFit="1" customWidth="1"/>
    <col min="5" max="5" width="9.140625" style="46"/>
    <col min="6" max="6" width="10.140625" style="46" bestFit="1" customWidth="1"/>
    <col min="7" max="16384" width="9.140625" style="46"/>
  </cols>
  <sheetData>
    <row r="1" spans="1:9">
      <c r="A1" s="1244" t="s">
        <v>53</v>
      </c>
      <c r="B1" s="1244"/>
      <c r="C1" s="1244"/>
      <c r="D1" s="1244"/>
      <c r="E1" s="1244"/>
      <c r="F1" s="3"/>
      <c r="G1" s="3"/>
      <c r="H1" s="3"/>
      <c r="I1" s="3"/>
    </row>
    <row r="2" spans="1:9">
      <c r="A2" s="1244" t="s">
        <v>1659</v>
      </c>
      <c r="B2" s="1244"/>
      <c r="C2" s="1244"/>
      <c r="D2" s="1244"/>
      <c r="E2" s="1244"/>
      <c r="F2" s="3"/>
      <c r="G2" s="3"/>
      <c r="H2" s="3"/>
      <c r="I2" s="3"/>
    </row>
    <row r="3" spans="1:9">
      <c r="A3" s="1244" t="s">
        <v>1681</v>
      </c>
      <c r="B3" s="1244"/>
      <c r="C3" s="1244"/>
      <c r="D3" s="1244"/>
      <c r="E3" s="1244"/>
      <c r="F3" s="3"/>
      <c r="G3" s="3"/>
      <c r="H3" s="3"/>
      <c r="I3" s="3"/>
    </row>
    <row r="4" spans="1:9">
      <c r="A4" s="1244" t="s">
        <v>1011</v>
      </c>
      <c r="B4" s="1244"/>
      <c r="C4" s="1244"/>
      <c r="D4" s="1244"/>
      <c r="E4" s="1244"/>
      <c r="F4" s="3"/>
      <c r="G4" s="3"/>
      <c r="H4" s="3"/>
      <c r="I4" s="3"/>
    </row>
    <row r="5" spans="1:9">
      <c r="A5" s="1244" t="s">
        <v>971</v>
      </c>
      <c r="B5" s="1244"/>
      <c r="C5" s="1244"/>
      <c r="D5" s="1244"/>
      <c r="E5" s="1244"/>
      <c r="F5" s="3"/>
      <c r="G5" s="3"/>
      <c r="H5" s="3"/>
      <c r="I5" s="3"/>
    </row>
    <row r="7" spans="1:9">
      <c r="A7" s="480" t="s">
        <v>879</v>
      </c>
      <c r="B7" s="434" t="s">
        <v>1689</v>
      </c>
      <c r="C7" s="434"/>
      <c r="D7" s="434" t="s">
        <v>1687</v>
      </c>
    </row>
    <row r="8" spans="1:9">
      <c r="A8" s="434">
        <v>1</v>
      </c>
      <c r="B8" s="46" t="s">
        <v>2110</v>
      </c>
      <c r="D8" s="481">
        <v>2219857.09</v>
      </c>
    </row>
    <row r="9" spans="1:9">
      <c r="A9" s="434">
        <v>2</v>
      </c>
      <c r="B9" s="46" t="s">
        <v>1005</v>
      </c>
      <c r="D9" s="482">
        <v>5000000</v>
      </c>
    </row>
    <row r="10" spans="1:9">
      <c r="A10" s="434">
        <v>3</v>
      </c>
      <c r="B10" s="46" t="s">
        <v>1137</v>
      </c>
      <c r="D10" s="483">
        <f>5690427/12*5</f>
        <v>2371011.25</v>
      </c>
    </row>
    <row r="11" spans="1:9">
      <c r="A11" s="434">
        <v>4</v>
      </c>
      <c r="B11" s="46" t="s">
        <v>1006</v>
      </c>
      <c r="D11" s="481">
        <f>+D8+D9+D10</f>
        <v>9590868.3399999999</v>
      </c>
    </row>
    <row r="12" spans="1:9" ht="18">
      <c r="A12" s="434">
        <v>5</v>
      </c>
      <c r="B12" s="46" t="s">
        <v>2020</v>
      </c>
      <c r="D12" s="483">
        <v>10</v>
      </c>
    </row>
    <row r="13" spans="1:9" ht="16.5" thickBot="1">
      <c r="A13" s="434">
        <v>6</v>
      </c>
      <c r="B13" s="46" t="s">
        <v>1007</v>
      </c>
      <c r="D13" s="484">
        <f>+D11/D12</f>
        <v>959086.83400000003</v>
      </c>
    </row>
    <row r="14" spans="1:9" ht="16.5" thickTop="1"/>
    <row r="16" spans="1:9" ht="18">
      <c r="A16" s="46" t="s">
        <v>2021</v>
      </c>
    </row>
    <row r="18" spans="1:2">
      <c r="A18" s="46" t="s">
        <v>1577</v>
      </c>
    </row>
    <row r="19" spans="1:2">
      <c r="A19" s="434" t="s">
        <v>2099</v>
      </c>
      <c r="B19" s="46" t="s">
        <v>2111</v>
      </c>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Name:&amp;A&amp;R&amp;"Times New Roman,Regular"&amp;9 26678.897\4829-5163-7600.v1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22"/>
  <sheetViews>
    <sheetView zoomScaleNormal="100" workbookViewId="0">
      <selection activeCell="A3" sqref="A3:M3"/>
    </sheetView>
  </sheetViews>
  <sheetFormatPr defaultColWidth="11.42578125" defaultRowHeight="15.75"/>
  <cols>
    <col min="1" max="1" width="9.28515625" style="4" bestFit="1" customWidth="1"/>
    <col min="2" max="2" width="25" style="4" bestFit="1" customWidth="1"/>
    <col min="3" max="3" width="12.5703125" style="4" customWidth="1"/>
    <col min="4" max="4" width="5.85546875" style="4" customWidth="1"/>
    <col min="5" max="5" width="12.28515625" style="4" bestFit="1" customWidth="1"/>
    <col min="6" max="6" width="5.42578125" style="4" customWidth="1"/>
    <col min="7" max="7" width="10.28515625" style="4" bestFit="1" customWidth="1"/>
    <col min="8" max="8" width="4.85546875" style="4" customWidth="1"/>
    <col min="9" max="9" width="9.85546875" style="4" bestFit="1" customWidth="1"/>
    <col min="10" max="10" width="4.7109375" style="4" customWidth="1"/>
    <col min="11" max="11" width="9.85546875" style="4" bestFit="1" customWidth="1"/>
    <col min="12" max="12" width="3.28515625" style="4" customWidth="1"/>
    <col min="13" max="13" width="11" style="4" bestFit="1" customWidth="1"/>
    <col min="14" max="14" width="3.5703125" style="4" customWidth="1"/>
    <col min="15" max="15" width="11.85546875" style="4" customWidth="1"/>
    <col min="16" max="16384" width="11.42578125" style="4"/>
  </cols>
  <sheetData>
    <row r="1" spans="1:15">
      <c r="B1" s="1244" t="s">
        <v>53</v>
      </c>
      <c r="C1" s="1244"/>
      <c r="D1" s="1244"/>
      <c r="E1" s="1244"/>
      <c r="F1" s="1244"/>
      <c r="G1" s="1244"/>
      <c r="H1" s="1244"/>
      <c r="I1" s="1244"/>
      <c r="J1" s="1244"/>
      <c r="K1" s="1244"/>
      <c r="L1" s="1244"/>
      <c r="M1" s="1244"/>
    </row>
    <row r="2" spans="1:15">
      <c r="B2" s="1244" t="s">
        <v>1659</v>
      </c>
      <c r="C2" s="1244"/>
      <c r="D2" s="1244"/>
      <c r="E2" s="1244"/>
      <c r="F2" s="1244"/>
      <c r="G2" s="1244"/>
      <c r="H2" s="1244"/>
      <c r="I2" s="1244"/>
      <c r="J2" s="1244"/>
      <c r="K2" s="1244"/>
      <c r="L2" s="1244"/>
      <c r="M2" s="1244"/>
    </row>
    <row r="3" spans="1:15">
      <c r="B3" s="1244" t="s">
        <v>1682</v>
      </c>
      <c r="C3" s="1244"/>
      <c r="D3" s="1244"/>
      <c r="E3" s="1244"/>
      <c r="F3" s="1244"/>
      <c r="G3" s="1244"/>
      <c r="H3" s="1244"/>
      <c r="I3" s="1244"/>
      <c r="J3" s="1244"/>
      <c r="K3" s="1244"/>
      <c r="L3" s="1244"/>
      <c r="M3" s="1244"/>
    </row>
    <row r="4" spans="1:15">
      <c r="B4" s="1244" t="s">
        <v>1012</v>
      </c>
      <c r="C4" s="1244"/>
      <c r="D4" s="1244"/>
      <c r="E4" s="1244"/>
      <c r="F4" s="1244"/>
      <c r="G4" s="1244"/>
      <c r="H4" s="1244"/>
      <c r="I4" s="1244"/>
      <c r="J4" s="1244"/>
      <c r="K4" s="1244"/>
      <c r="L4" s="1244"/>
      <c r="M4" s="1244"/>
    </row>
    <row r="5" spans="1:15">
      <c r="B5" s="1244" t="s">
        <v>971</v>
      </c>
      <c r="C5" s="1244"/>
      <c r="D5" s="1244"/>
      <c r="E5" s="1244"/>
      <c r="F5" s="1244"/>
      <c r="G5" s="1244"/>
      <c r="H5" s="1244"/>
      <c r="I5" s="1244"/>
      <c r="J5" s="1244"/>
      <c r="K5" s="1244"/>
      <c r="L5" s="1244"/>
      <c r="M5" s="1244"/>
    </row>
    <row r="7" spans="1:15" s="6" customFormat="1">
      <c r="B7" s="6" t="s">
        <v>1689</v>
      </c>
      <c r="C7" s="6" t="s">
        <v>1687</v>
      </c>
      <c r="E7" s="6" t="s">
        <v>1688</v>
      </c>
      <c r="G7" s="6" t="s">
        <v>1691</v>
      </c>
      <c r="I7" s="6" t="s">
        <v>1692</v>
      </c>
      <c r="K7" s="6" t="s">
        <v>1701</v>
      </c>
      <c r="M7" s="6" t="s">
        <v>1702</v>
      </c>
      <c r="O7" s="6" t="s">
        <v>1703</v>
      </c>
    </row>
    <row r="8" spans="1:15" ht="78.75">
      <c r="A8" s="485" t="s">
        <v>879</v>
      </c>
      <c r="B8" s="485" t="s">
        <v>1013</v>
      </c>
      <c r="C8" s="486" t="s">
        <v>2107</v>
      </c>
      <c r="D8" s="485"/>
      <c r="E8" s="486" t="s">
        <v>2108</v>
      </c>
      <c r="F8" s="485"/>
      <c r="G8" s="487" t="s">
        <v>1020</v>
      </c>
      <c r="H8" s="12"/>
      <c r="I8" s="486" t="s">
        <v>2109</v>
      </c>
      <c r="J8" s="486"/>
      <c r="K8" s="486" t="s">
        <v>1019</v>
      </c>
      <c r="L8" s="12"/>
      <c r="M8" s="486" t="s">
        <v>1014</v>
      </c>
      <c r="O8" s="486" t="s">
        <v>1718</v>
      </c>
    </row>
    <row r="9" spans="1:15">
      <c r="B9" s="488"/>
      <c r="C9" s="488"/>
      <c r="D9" s="488"/>
      <c r="E9" s="489"/>
      <c r="F9" s="488"/>
      <c r="G9" s="485"/>
      <c r="H9" s="485"/>
      <c r="I9" s="485"/>
      <c r="J9" s="485"/>
      <c r="K9" s="485"/>
      <c r="L9" s="485"/>
      <c r="M9" s="485"/>
    </row>
    <row r="10" spans="1:15">
      <c r="A10" s="6">
        <v>1</v>
      </c>
      <c r="B10" s="490" t="s">
        <v>1946</v>
      </c>
      <c r="C10" s="491">
        <v>10</v>
      </c>
      <c r="D10" s="490"/>
      <c r="E10" s="492">
        <v>1297</v>
      </c>
      <c r="F10" s="490"/>
      <c r="G10" s="493">
        <f t="shared" ref="G10:G15" si="0">+C10*E10</f>
        <v>12970</v>
      </c>
      <c r="H10" s="494"/>
      <c r="I10" s="495">
        <v>12</v>
      </c>
      <c r="J10" s="496"/>
      <c r="K10" s="496">
        <f t="shared" ref="K10:K15" si="1">+I10*E10</f>
        <v>15564</v>
      </c>
      <c r="L10" s="494"/>
      <c r="M10" s="493">
        <f t="shared" ref="M10:M15" si="2">+K10-G10</f>
        <v>2594</v>
      </c>
      <c r="N10" s="494"/>
      <c r="O10" s="497">
        <f>(I10-C10)/C10</f>
        <v>0.2</v>
      </c>
    </row>
    <row r="11" spans="1:15">
      <c r="A11" s="6">
        <v>2</v>
      </c>
      <c r="B11" s="498" t="s">
        <v>1947</v>
      </c>
      <c r="C11" s="499">
        <v>18</v>
      </c>
      <c r="D11" s="498"/>
      <c r="E11" s="14">
        <v>4059</v>
      </c>
      <c r="F11" s="498"/>
      <c r="G11" s="500">
        <f t="shared" si="0"/>
        <v>73062</v>
      </c>
      <c r="H11" s="498"/>
      <c r="I11" s="501">
        <v>21</v>
      </c>
      <c r="J11" s="502"/>
      <c r="K11" s="502">
        <f t="shared" si="1"/>
        <v>85239</v>
      </c>
      <c r="L11" s="498"/>
      <c r="M11" s="503">
        <f t="shared" si="2"/>
        <v>12177</v>
      </c>
      <c r="O11" s="504">
        <f t="shared" ref="O11:O15" si="3">(I11-C11)/C11</f>
        <v>0.16666666666666666</v>
      </c>
    </row>
    <row r="12" spans="1:15">
      <c r="A12" s="6">
        <v>3</v>
      </c>
      <c r="B12" s="490" t="s">
        <v>1015</v>
      </c>
      <c r="C12" s="491">
        <v>20</v>
      </c>
      <c r="D12" s="490"/>
      <c r="E12" s="492">
        <v>271</v>
      </c>
      <c r="F12" s="490"/>
      <c r="G12" s="505">
        <f t="shared" si="0"/>
        <v>5420</v>
      </c>
      <c r="H12" s="490"/>
      <c r="I12" s="506">
        <v>24</v>
      </c>
      <c r="J12" s="507"/>
      <c r="K12" s="507">
        <f t="shared" si="1"/>
        <v>6504</v>
      </c>
      <c r="L12" s="490"/>
      <c r="M12" s="508">
        <f t="shared" si="2"/>
        <v>1084</v>
      </c>
      <c r="N12" s="508"/>
      <c r="O12" s="509">
        <f t="shared" si="3"/>
        <v>0.2</v>
      </c>
    </row>
    <row r="13" spans="1:15">
      <c r="A13" s="6">
        <v>4</v>
      </c>
      <c r="B13" s="498" t="s">
        <v>1016</v>
      </c>
      <c r="C13" s="499">
        <v>45</v>
      </c>
      <c r="D13" s="498"/>
      <c r="E13" s="14">
        <v>2916</v>
      </c>
      <c r="F13" s="498"/>
      <c r="G13" s="510">
        <f t="shared" si="0"/>
        <v>131220</v>
      </c>
      <c r="H13" s="498"/>
      <c r="I13" s="501">
        <v>0</v>
      </c>
      <c r="J13" s="502"/>
      <c r="K13" s="502">
        <f t="shared" si="1"/>
        <v>0</v>
      </c>
      <c r="L13" s="498"/>
      <c r="M13" s="503">
        <f t="shared" si="2"/>
        <v>-131220</v>
      </c>
      <c r="O13" s="511">
        <f t="shared" si="3"/>
        <v>-1</v>
      </c>
    </row>
    <row r="14" spans="1:15">
      <c r="A14" s="6">
        <v>5</v>
      </c>
      <c r="B14" s="490" t="s">
        <v>1017</v>
      </c>
      <c r="C14" s="491">
        <v>24</v>
      </c>
      <c r="D14" s="490"/>
      <c r="E14" s="492">
        <v>1865</v>
      </c>
      <c r="F14" s="490"/>
      <c r="G14" s="505">
        <f t="shared" si="0"/>
        <v>44760</v>
      </c>
      <c r="H14" s="490"/>
      <c r="I14" s="506">
        <v>28</v>
      </c>
      <c r="J14" s="507"/>
      <c r="K14" s="507">
        <f t="shared" si="1"/>
        <v>52220</v>
      </c>
      <c r="L14" s="490"/>
      <c r="M14" s="508">
        <f t="shared" si="2"/>
        <v>7460</v>
      </c>
      <c r="N14" s="508"/>
      <c r="O14" s="509">
        <f t="shared" si="3"/>
        <v>0.16666666666666666</v>
      </c>
    </row>
    <row r="15" spans="1:15">
      <c r="A15" s="6">
        <v>6</v>
      </c>
      <c r="B15" s="498" t="s">
        <v>1018</v>
      </c>
      <c r="C15" s="499">
        <v>60</v>
      </c>
      <c r="D15" s="498"/>
      <c r="E15" s="14">
        <v>626</v>
      </c>
      <c r="F15" s="498"/>
      <c r="G15" s="500">
        <f t="shared" si="0"/>
        <v>37560</v>
      </c>
      <c r="H15" s="498"/>
      <c r="I15" s="501">
        <v>70</v>
      </c>
      <c r="J15" s="502"/>
      <c r="K15" s="502">
        <f t="shared" si="1"/>
        <v>43820</v>
      </c>
      <c r="L15" s="498"/>
      <c r="M15" s="502">
        <f t="shared" si="2"/>
        <v>6260</v>
      </c>
      <c r="O15" s="504">
        <f t="shared" si="3"/>
        <v>0.16666666666666666</v>
      </c>
    </row>
    <row r="16" spans="1:15">
      <c r="B16" s="12"/>
      <c r="C16" s="12"/>
      <c r="D16" s="12"/>
      <c r="E16" s="12"/>
      <c r="F16" s="12"/>
      <c r="G16" s="12"/>
      <c r="H16" s="12"/>
      <c r="I16" s="12"/>
      <c r="J16" s="12"/>
      <c r="K16" s="12"/>
      <c r="L16" s="12"/>
      <c r="M16" s="500">
        <f>SUM(M10:M15)</f>
        <v>-101645</v>
      </c>
    </row>
    <row r="17" spans="1:13">
      <c r="B17" s="1290" t="s">
        <v>2022</v>
      </c>
      <c r="C17" s="1290"/>
      <c r="D17" s="1290"/>
      <c r="E17" s="1290"/>
      <c r="F17" s="1290"/>
      <c r="G17" s="1290"/>
      <c r="H17" s="1290"/>
      <c r="I17" s="1290"/>
      <c r="J17" s="1290"/>
      <c r="K17" s="1290"/>
      <c r="L17" s="1290"/>
      <c r="M17" s="12"/>
    </row>
    <row r="18" spans="1:13">
      <c r="B18" s="1290"/>
      <c r="C18" s="1290"/>
      <c r="D18" s="1290"/>
      <c r="E18" s="1290"/>
      <c r="F18" s="1290"/>
      <c r="G18" s="1290"/>
      <c r="H18" s="1290"/>
      <c r="I18" s="1290"/>
      <c r="J18" s="1290"/>
      <c r="K18" s="1290"/>
      <c r="L18" s="1290"/>
    </row>
    <row r="20" spans="1:13">
      <c r="A20" s="4" t="s">
        <v>1577</v>
      </c>
    </row>
    <row r="21" spans="1:13">
      <c r="A21" s="6" t="s">
        <v>2099</v>
      </c>
      <c r="B21" s="4" t="s">
        <v>2105</v>
      </c>
    </row>
    <row r="22" spans="1:13">
      <c r="A22" s="6" t="s">
        <v>2097</v>
      </c>
      <c r="B22" s="4" t="s">
        <v>2106</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Name:&amp;A&amp;R&amp;"Times New Roman,Regular"&amp;9 26678.897\4829-5163-7600.v1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35"/>
  <sheetViews>
    <sheetView zoomScaleNormal="100" workbookViewId="0">
      <selection activeCell="A3" sqref="A3:H3"/>
    </sheetView>
  </sheetViews>
  <sheetFormatPr defaultColWidth="9.140625" defaultRowHeight="15.75"/>
  <cols>
    <col min="1" max="1" width="10.140625" style="434" customWidth="1"/>
    <col min="2" max="2" width="61.85546875" style="46" bestFit="1" customWidth="1"/>
    <col min="3" max="3" width="18" style="46" bestFit="1" customWidth="1"/>
    <col min="4" max="4" width="12.7109375" style="46" bestFit="1" customWidth="1"/>
    <col min="5" max="16384" width="9.140625" style="46"/>
  </cols>
  <sheetData>
    <row r="1" spans="1:12">
      <c r="A1" s="1244" t="s">
        <v>53</v>
      </c>
      <c r="B1" s="1244"/>
      <c r="C1" s="1244"/>
      <c r="D1" s="1244"/>
      <c r="E1" s="1244"/>
      <c r="F1" s="3"/>
      <c r="G1" s="3"/>
      <c r="H1" s="3"/>
      <c r="I1" s="3"/>
      <c r="J1" s="3"/>
      <c r="K1" s="3"/>
      <c r="L1" s="3"/>
    </row>
    <row r="2" spans="1:12">
      <c r="A2" s="1244" t="s">
        <v>1659</v>
      </c>
      <c r="B2" s="1244"/>
      <c r="C2" s="1244"/>
      <c r="D2" s="1244"/>
      <c r="E2" s="1244"/>
      <c r="F2" s="3"/>
      <c r="G2" s="3"/>
      <c r="H2" s="3"/>
      <c r="I2" s="3"/>
      <c r="J2" s="3"/>
      <c r="K2" s="3"/>
      <c r="L2" s="3"/>
    </row>
    <row r="3" spans="1:12">
      <c r="A3" s="1244" t="s">
        <v>1683</v>
      </c>
      <c r="B3" s="1244"/>
      <c r="C3" s="1244"/>
      <c r="D3" s="1244"/>
      <c r="E3" s="1244"/>
      <c r="F3" s="3"/>
      <c r="G3" s="3"/>
      <c r="H3" s="3"/>
      <c r="I3" s="3"/>
      <c r="J3" s="3"/>
      <c r="K3" s="3"/>
      <c r="L3" s="3"/>
    </row>
    <row r="4" spans="1:12">
      <c r="A4" s="1244" t="s">
        <v>1679</v>
      </c>
      <c r="B4" s="1244"/>
      <c r="C4" s="1244"/>
      <c r="D4" s="1244"/>
      <c r="E4" s="1244"/>
      <c r="F4" s="3"/>
      <c r="G4" s="3"/>
      <c r="H4" s="3"/>
      <c r="I4" s="3"/>
      <c r="J4" s="3"/>
      <c r="K4" s="3"/>
      <c r="L4" s="3"/>
    </row>
    <row r="5" spans="1:12">
      <c r="A5" s="1244" t="s">
        <v>971</v>
      </c>
      <c r="B5" s="1244"/>
      <c r="C5" s="1244"/>
      <c r="D5" s="1244"/>
      <c r="E5" s="1244"/>
      <c r="F5" s="3"/>
      <c r="G5" s="3"/>
      <c r="H5" s="3"/>
      <c r="I5" s="3"/>
      <c r="J5" s="3"/>
      <c r="K5" s="3"/>
      <c r="L5" s="3"/>
    </row>
    <row r="8" spans="1:12" s="434" customFormat="1">
      <c r="A8" s="480" t="s">
        <v>879</v>
      </c>
      <c r="B8" s="434" t="s">
        <v>1689</v>
      </c>
      <c r="C8" s="434" t="s">
        <v>1687</v>
      </c>
      <c r="D8" s="434" t="s">
        <v>1688</v>
      </c>
      <c r="E8" s="434" t="s">
        <v>1691</v>
      </c>
    </row>
    <row r="9" spans="1:12">
      <c r="A9" s="434">
        <v>1</v>
      </c>
      <c r="B9" s="46" t="s">
        <v>1349</v>
      </c>
      <c r="C9" s="512"/>
      <c r="D9" s="512">
        <v>14908023</v>
      </c>
    </row>
    <row r="10" spans="1:12" ht="16.5" thickBot="1">
      <c r="A10" s="434">
        <v>2</v>
      </c>
      <c r="B10" s="46" t="s">
        <v>1350</v>
      </c>
      <c r="C10" s="512"/>
      <c r="D10" s="513">
        <f>+'CRM Adjustment (b)'!AA79</f>
        <v>11884345.086249998</v>
      </c>
    </row>
    <row r="11" spans="1:12">
      <c r="A11" s="434">
        <v>3</v>
      </c>
      <c r="B11" s="46" t="s">
        <v>1351</v>
      </c>
      <c r="C11" s="512"/>
      <c r="D11" s="514">
        <f>+D9-D10</f>
        <v>3023677.9137500022</v>
      </c>
    </row>
    <row r="12" spans="1:12">
      <c r="C12" s="512"/>
      <c r="D12" s="512"/>
    </row>
    <row r="13" spans="1:12">
      <c r="C13" s="512"/>
      <c r="D13" s="512"/>
    </row>
    <row r="14" spans="1:12">
      <c r="A14" s="434">
        <v>4</v>
      </c>
      <c r="B14" s="46" t="s">
        <v>875</v>
      </c>
      <c r="C14" s="514">
        <f>+D11</f>
        <v>3023677.9137500022</v>
      </c>
      <c r="D14" s="512"/>
    </row>
    <row r="15" spans="1:12">
      <c r="C15" s="512"/>
      <c r="D15" s="512"/>
      <c r="E15" s="481" t="s">
        <v>1945</v>
      </c>
    </row>
    <row r="16" spans="1:12">
      <c r="A16" s="434">
        <v>5</v>
      </c>
      <c r="B16" s="46" t="s">
        <v>888</v>
      </c>
      <c r="C16" s="512">
        <f>+C14*0.0258</f>
        <v>78010.890174750049</v>
      </c>
      <c r="D16" s="512"/>
      <c r="E16" s="481">
        <f>+C16</f>
        <v>78010.890174750049</v>
      </c>
    </row>
    <row r="17" spans="1:6">
      <c r="A17" s="434">
        <v>6</v>
      </c>
      <c r="B17" s="46" t="s">
        <v>889</v>
      </c>
      <c r="C17" s="514">
        <f>+C16/2</f>
        <v>39005.445087375025</v>
      </c>
      <c r="D17" s="512"/>
      <c r="E17" s="481"/>
      <c r="F17" s="481"/>
    </row>
    <row r="18" spans="1:6">
      <c r="A18" s="434">
        <v>7</v>
      </c>
      <c r="B18" s="46" t="s">
        <v>890</v>
      </c>
      <c r="C18" s="512">
        <f>+C14*0.0375</f>
        <v>113387.92176562508</v>
      </c>
      <c r="D18" s="512"/>
      <c r="E18" s="481"/>
      <c r="F18" s="481"/>
    </row>
    <row r="19" spans="1:6">
      <c r="A19" s="434">
        <v>8</v>
      </c>
      <c r="B19" s="46" t="s">
        <v>95</v>
      </c>
      <c r="C19" s="512">
        <f>(+C18-C16)*0.35</f>
        <v>12381.961056806262</v>
      </c>
      <c r="D19" s="512"/>
      <c r="E19" s="481"/>
      <c r="F19" s="481"/>
    </row>
    <row r="20" spans="1:6">
      <c r="A20" s="434">
        <v>9</v>
      </c>
      <c r="B20" s="46" t="s">
        <v>891</v>
      </c>
      <c r="C20" s="514">
        <f>+C19/2</f>
        <v>6190.9805284031308</v>
      </c>
      <c r="D20" s="512"/>
      <c r="E20" s="481"/>
      <c r="F20" s="481"/>
    </row>
    <row r="21" spans="1:6">
      <c r="C21" s="512"/>
      <c r="D21" s="512"/>
      <c r="E21" s="481"/>
      <c r="F21" s="481"/>
    </row>
    <row r="22" spans="1:6">
      <c r="C22" s="512"/>
      <c r="D22" s="512"/>
      <c r="E22" s="481"/>
      <c r="F22" s="481"/>
    </row>
    <row r="23" spans="1:6">
      <c r="A23" s="434">
        <v>10</v>
      </c>
      <c r="B23" s="46" t="s">
        <v>893</v>
      </c>
      <c r="C23" s="515">
        <f>+C14-C17-C20</f>
        <v>2978481.488134224</v>
      </c>
      <c r="D23" s="512"/>
      <c r="E23" s="481"/>
    </row>
    <row r="24" spans="1:6">
      <c r="C24" s="512"/>
      <c r="D24" s="512"/>
    </row>
    <row r="25" spans="1:6">
      <c r="C25" s="512"/>
      <c r="D25" s="512"/>
      <c r="F25" s="516"/>
    </row>
    <row r="26" spans="1:6">
      <c r="C26" s="516"/>
      <c r="D26" s="516"/>
      <c r="E26" s="516"/>
      <c r="F26" s="516"/>
    </row>
    <row r="27" spans="1:6">
      <c r="C27" s="516"/>
      <c r="D27" s="516"/>
      <c r="E27" s="516"/>
    </row>
    <row r="28" spans="1:6">
      <c r="F28" s="517"/>
    </row>
    <row r="29" spans="1:6">
      <c r="C29" s="517"/>
      <c r="E29" s="517"/>
      <c r="F29" s="516"/>
    </row>
    <row r="30" spans="1:6">
      <c r="C30" s="517"/>
      <c r="E30" s="517"/>
      <c r="F30" s="516"/>
    </row>
    <row r="31" spans="1:6">
      <c r="E31" s="517"/>
    </row>
    <row r="32" spans="1:6">
      <c r="C32" s="517"/>
      <c r="E32" s="517"/>
    </row>
    <row r="33" spans="3:5">
      <c r="C33" s="517"/>
      <c r="E33" s="517"/>
    </row>
    <row r="34" spans="3:5">
      <c r="C34" s="517"/>
      <c r="E34" s="517"/>
    </row>
    <row r="35" spans="3:5">
      <c r="C35" s="517"/>
      <c r="E35" s="517"/>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Name:&amp;A&amp;R&amp;"Times New Roman,Regular"&amp;9 26678.897\4829-5163-7600.v1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C80"/>
  <sheetViews>
    <sheetView view="pageBreakPreview" zoomScaleNormal="100" zoomScaleSheetLayoutView="100" workbookViewId="0">
      <selection activeCell="U2" sqref="U2"/>
    </sheetView>
  </sheetViews>
  <sheetFormatPr defaultColWidth="9.140625" defaultRowHeight="15.75"/>
  <cols>
    <col min="1" max="1" width="12.140625" style="24" bestFit="1" customWidth="1"/>
    <col min="2" max="2" width="12.7109375" style="4" bestFit="1" customWidth="1"/>
    <col min="3" max="3" width="17.5703125" style="4" bestFit="1" customWidth="1"/>
    <col min="4" max="4" width="61.85546875" style="4" bestFit="1" customWidth="1"/>
    <col min="5" max="5" width="14" style="4" bestFit="1" customWidth="1"/>
    <col min="6" max="6" width="16.140625" style="4" bestFit="1" customWidth="1"/>
    <col min="7" max="7" width="9.42578125" style="4" bestFit="1" customWidth="1"/>
    <col min="8" max="8" width="9.28515625" style="4" bestFit="1" customWidth="1"/>
    <col min="9" max="9" width="13" style="4" bestFit="1" customWidth="1"/>
    <col min="10" max="10" width="12.28515625" style="4" customWidth="1"/>
    <col min="11" max="11" width="16.140625" style="4" bestFit="1" customWidth="1"/>
    <col min="12" max="12" width="18.28515625" style="4" bestFit="1" customWidth="1"/>
    <col min="13" max="13" width="17.7109375" style="4" bestFit="1" customWidth="1"/>
    <col min="14" max="15" width="17.28515625" style="4" bestFit="1" customWidth="1"/>
    <col min="16" max="19" width="18.28515625" style="4" bestFit="1" customWidth="1"/>
    <col min="20" max="20" width="18.7109375" style="4" bestFit="1" customWidth="1"/>
    <col min="21" max="22" width="18.28515625" style="4" bestFit="1" customWidth="1"/>
    <col min="23" max="25" width="19.140625" style="4" bestFit="1" customWidth="1"/>
    <col min="26" max="26" width="18.7109375" style="4" bestFit="1" customWidth="1"/>
    <col min="27" max="27" width="19.140625" style="4" bestFit="1" customWidth="1"/>
    <col min="28" max="28" width="6.5703125" style="4" customWidth="1"/>
    <col min="29" max="29" width="19.140625" style="4" bestFit="1" customWidth="1"/>
    <col min="30" max="16384" width="9.140625" style="4"/>
  </cols>
  <sheetData>
    <row r="1" spans="2:29">
      <c r="B1" s="1244" t="s">
        <v>53</v>
      </c>
      <c r="C1" s="1244"/>
      <c r="D1" s="1244"/>
      <c r="E1" s="1244"/>
      <c r="F1" s="1244"/>
      <c r="G1" s="1244"/>
      <c r="H1" s="1244"/>
      <c r="M1" s="3"/>
      <c r="N1" s="1244" t="s">
        <v>53</v>
      </c>
      <c r="O1" s="1244"/>
      <c r="P1" s="1244"/>
      <c r="Q1" s="1244"/>
      <c r="R1" s="3"/>
      <c r="X1" s="1244" t="s">
        <v>53</v>
      </c>
      <c r="Y1" s="1244"/>
      <c r="Z1" s="1244"/>
      <c r="AA1" s="3"/>
      <c r="AB1" s="3"/>
    </row>
    <row r="2" spans="2:29">
      <c r="B2" s="1244" t="s">
        <v>1659</v>
      </c>
      <c r="C2" s="1244"/>
      <c r="D2" s="1244"/>
      <c r="E2" s="1244"/>
      <c r="F2" s="1244"/>
      <c r="G2" s="1244"/>
      <c r="H2" s="1244"/>
      <c r="M2" s="3"/>
      <c r="N2" s="1244" t="s">
        <v>1659</v>
      </c>
      <c r="O2" s="1244"/>
      <c r="P2" s="1244"/>
      <c r="Q2" s="1244"/>
      <c r="R2" s="3"/>
      <c r="X2" s="1244" t="s">
        <v>1659</v>
      </c>
      <c r="Y2" s="1244"/>
      <c r="Z2" s="1244"/>
      <c r="AA2" s="3"/>
      <c r="AB2" s="3"/>
    </row>
    <row r="3" spans="2:29">
      <c r="B3" s="1244" t="s">
        <v>2000</v>
      </c>
      <c r="C3" s="1244"/>
      <c r="D3" s="1244"/>
      <c r="E3" s="1244"/>
      <c r="F3" s="1244"/>
      <c r="G3" s="1244"/>
      <c r="H3" s="1244"/>
      <c r="M3" s="3"/>
      <c r="N3" s="1244" t="s">
        <v>2000</v>
      </c>
      <c r="O3" s="1244"/>
      <c r="P3" s="1244"/>
      <c r="Q3" s="1244"/>
      <c r="R3" s="3"/>
      <c r="X3" s="1244" t="s">
        <v>2000</v>
      </c>
      <c r="Y3" s="1244"/>
      <c r="Z3" s="1244"/>
      <c r="AA3" s="3"/>
      <c r="AB3" s="3"/>
    </row>
    <row r="4" spans="2:29">
      <c r="B4" s="1244" t="s">
        <v>1680</v>
      </c>
      <c r="C4" s="1244"/>
      <c r="D4" s="1244"/>
      <c r="E4" s="1244"/>
      <c r="F4" s="1244"/>
      <c r="G4" s="1244"/>
      <c r="H4" s="1244"/>
      <c r="M4" s="3"/>
      <c r="N4" s="1244" t="s">
        <v>1680</v>
      </c>
      <c r="O4" s="1244"/>
      <c r="P4" s="1244"/>
      <c r="Q4" s="1244"/>
      <c r="R4" s="3"/>
      <c r="X4" s="1244" t="s">
        <v>1680</v>
      </c>
      <c r="Y4" s="1244"/>
      <c r="Z4" s="1244"/>
      <c r="AA4" s="3"/>
      <c r="AB4" s="3"/>
    </row>
    <row r="5" spans="2:29">
      <c r="B5" s="1244" t="s">
        <v>971</v>
      </c>
      <c r="C5" s="1244"/>
      <c r="D5" s="1244"/>
      <c r="E5" s="1244"/>
      <c r="F5" s="1244"/>
      <c r="G5" s="1244"/>
      <c r="H5" s="1244"/>
      <c r="M5" s="3"/>
      <c r="N5" s="1244" t="s">
        <v>971</v>
      </c>
      <c r="O5" s="1244"/>
      <c r="P5" s="1244"/>
      <c r="Q5" s="1244"/>
      <c r="R5" s="3"/>
      <c r="X5" s="1244" t="s">
        <v>971</v>
      </c>
      <c r="Y5" s="1244"/>
      <c r="Z5" s="1244"/>
      <c r="AA5" s="3"/>
      <c r="AB5" s="3"/>
    </row>
    <row r="6" spans="2:29">
      <c r="B6" s="23"/>
      <c r="C6" s="23"/>
      <c r="D6" s="23"/>
      <c r="E6" s="23"/>
      <c r="F6" s="23"/>
      <c r="G6" s="23"/>
      <c r="H6" s="23"/>
    </row>
    <row r="7" spans="2:29" s="24" customFormat="1">
      <c r="B7" s="24" t="s">
        <v>1689</v>
      </c>
      <c r="C7" s="24" t="s">
        <v>1687</v>
      </c>
      <c r="D7" s="24" t="s">
        <v>1688</v>
      </c>
      <c r="E7" s="24" t="s">
        <v>1691</v>
      </c>
      <c r="F7" s="24" t="s">
        <v>1701</v>
      </c>
      <c r="G7" s="24" t="s">
        <v>1702</v>
      </c>
      <c r="H7" s="24" t="s">
        <v>1703</v>
      </c>
      <c r="I7" s="24" t="s">
        <v>1704</v>
      </c>
      <c r="J7" s="24" t="s">
        <v>1705</v>
      </c>
      <c r="K7" s="24" t="s">
        <v>1706</v>
      </c>
      <c r="L7" s="24" t="s">
        <v>1707</v>
      </c>
      <c r="M7" s="24" t="s">
        <v>1708</v>
      </c>
      <c r="N7" s="24" t="s">
        <v>1709</v>
      </c>
      <c r="O7" s="24" t="s">
        <v>1710</v>
      </c>
      <c r="P7" s="24" t="s">
        <v>1984</v>
      </c>
      <c r="Q7" s="24" t="s">
        <v>1985</v>
      </c>
      <c r="R7" s="24" t="s">
        <v>1986</v>
      </c>
      <c r="S7" s="24" t="s">
        <v>1987</v>
      </c>
      <c r="T7" s="24" t="s">
        <v>1988</v>
      </c>
      <c r="U7" s="24" t="s">
        <v>1989</v>
      </c>
      <c r="V7" s="24" t="s">
        <v>1990</v>
      </c>
      <c r="W7" s="24" t="s">
        <v>1991</v>
      </c>
      <c r="X7" s="24" t="s">
        <v>1992</v>
      </c>
      <c r="Y7" s="24" t="s">
        <v>1993</v>
      </c>
      <c r="Z7" s="24" t="s">
        <v>1994</v>
      </c>
      <c r="AA7" s="24" t="s">
        <v>1167</v>
      </c>
      <c r="AC7" s="24" t="s">
        <v>1995</v>
      </c>
    </row>
    <row r="8" spans="2:29">
      <c r="B8" s="23"/>
      <c r="C8" s="23"/>
      <c r="D8" s="23"/>
      <c r="E8" s="23"/>
      <c r="F8" s="23"/>
      <c r="G8" s="23"/>
      <c r="H8" s="23"/>
    </row>
    <row r="9" spans="2:29">
      <c r="I9" s="283" t="s">
        <v>1167</v>
      </c>
      <c r="J9" s="283" t="s">
        <v>1167</v>
      </c>
      <c r="K9" s="283" t="s">
        <v>1167</v>
      </c>
      <c r="L9" s="283" t="s">
        <v>1167</v>
      </c>
      <c r="M9" s="283" t="s">
        <v>1167</v>
      </c>
      <c r="N9" s="283" t="s">
        <v>1167</v>
      </c>
      <c r="O9" s="283" t="s">
        <v>1167</v>
      </c>
      <c r="P9" s="283" t="s">
        <v>1167</v>
      </c>
      <c r="Q9" s="283" t="s">
        <v>1167</v>
      </c>
      <c r="R9" s="283" t="s">
        <v>1167</v>
      </c>
      <c r="S9" s="283" t="s">
        <v>1167</v>
      </c>
      <c r="T9" s="283" t="s">
        <v>1167</v>
      </c>
      <c r="U9" s="283" t="s">
        <v>1167</v>
      </c>
      <c r="V9" s="283" t="s">
        <v>1167</v>
      </c>
      <c r="W9" s="283" t="s">
        <v>1167</v>
      </c>
      <c r="X9" s="283" t="s">
        <v>52</v>
      </c>
      <c r="Y9" s="283" t="s">
        <v>1167</v>
      </c>
      <c r="Z9" s="283" t="s">
        <v>1167</v>
      </c>
      <c r="AA9" s="283" t="s">
        <v>1167</v>
      </c>
      <c r="AC9" s="285"/>
    </row>
    <row r="10" spans="2:29">
      <c r="I10" s="518">
        <v>2015</v>
      </c>
      <c r="J10" s="518">
        <v>2015</v>
      </c>
      <c r="K10" s="518">
        <v>2015</v>
      </c>
      <c r="L10" s="518">
        <v>2015</v>
      </c>
      <c r="M10" s="518">
        <v>2015</v>
      </c>
      <c r="N10" s="518">
        <v>2015</v>
      </c>
      <c r="O10" s="518">
        <v>2016</v>
      </c>
      <c r="P10" s="518">
        <v>2016</v>
      </c>
      <c r="Q10" s="518">
        <v>2016</v>
      </c>
      <c r="R10" s="518">
        <v>2016</v>
      </c>
      <c r="S10" s="518">
        <v>2016</v>
      </c>
      <c r="T10" s="518">
        <v>2016</v>
      </c>
      <c r="U10" s="518">
        <v>2016</v>
      </c>
      <c r="V10" s="518">
        <v>2016</v>
      </c>
      <c r="W10" s="518">
        <v>2016</v>
      </c>
      <c r="X10" s="518" t="s">
        <v>1970</v>
      </c>
      <c r="Y10" s="518">
        <v>2016</v>
      </c>
      <c r="Z10" s="518">
        <v>2016</v>
      </c>
      <c r="AA10" s="518">
        <v>2016</v>
      </c>
      <c r="AC10" s="519"/>
    </row>
    <row r="11" spans="2:29">
      <c r="B11" s="6"/>
      <c r="C11" s="21"/>
      <c r="E11" s="6"/>
      <c r="G11" s="520"/>
      <c r="H11" s="521"/>
      <c r="I11" s="283" t="s">
        <v>1168</v>
      </c>
      <c r="J11" s="283" t="s">
        <v>1168</v>
      </c>
      <c r="K11" s="283" t="s">
        <v>1168</v>
      </c>
      <c r="L11" s="283" t="s">
        <v>1168</v>
      </c>
      <c r="M11" s="283" t="s">
        <v>1168</v>
      </c>
      <c r="N11" s="283" t="s">
        <v>1168</v>
      </c>
      <c r="O11" s="283" t="s">
        <v>1168</v>
      </c>
      <c r="P11" s="283" t="s">
        <v>1168</v>
      </c>
      <c r="Q11" s="283" t="s">
        <v>1168</v>
      </c>
      <c r="R11" s="283" t="s">
        <v>1168</v>
      </c>
      <c r="S11" s="283" t="s">
        <v>1168</v>
      </c>
      <c r="T11" s="283" t="s">
        <v>1168</v>
      </c>
      <c r="U11" s="283" t="s">
        <v>1168</v>
      </c>
      <c r="V11" s="283" t="s">
        <v>1168</v>
      </c>
      <c r="W11" s="283" t="s">
        <v>1169</v>
      </c>
      <c r="X11" s="283" t="s">
        <v>1971</v>
      </c>
      <c r="Y11" s="283" t="s">
        <v>1169</v>
      </c>
      <c r="Z11" s="283" t="s">
        <v>1169</v>
      </c>
      <c r="AA11" s="283" t="s">
        <v>1169</v>
      </c>
      <c r="AC11" s="285"/>
    </row>
    <row r="12" spans="2:29">
      <c r="B12" s="6"/>
      <c r="C12" s="21"/>
      <c r="E12" s="6"/>
      <c r="G12" s="520"/>
      <c r="H12" s="521"/>
      <c r="I12" s="518" t="s">
        <v>1365</v>
      </c>
      <c r="J12" s="518" t="s">
        <v>1366</v>
      </c>
      <c r="K12" s="518" t="s">
        <v>1966</v>
      </c>
      <c r="L12" s="518" t="s">
        <v>1967</v>
      </c>
      <c r="M12" s="518" t="s">
        <v>1968</v>
      </c>
      <c r="N12" s="518" t="s">
        <v>1969</v>
      </c>
      <c r="O12" s="518" t="s">
        <v>1114</v>
      </c>
      <c r="P12" s="518" t="s">
        <v>1115</v>
      </c>
      <c r="Q12" s="518" t="s">
        <v>1116</v>
      </c>
      <c r="R12" s="518" t="s">
        <v>1117</v>
      </c>
      <c r="S12" s="518" t="s">
        <v>1118</v>
      </c>
      <c r="T12" s="518" t="s">
        <v>1119</v>
      </c>
      <c r="U12" s="518" t="s">
        <v>1120</v>
      </c>
      <c r="V12" s="518" t="s">
        <v>1121</v>
      </c>
      <c r="W12" s="518" t="s">
        <v>1966</v>
      </c>
      <c r="X12" s="518" t="s">
        <v>1972</v>
      </c>
      <c r="Y12" s="518" t="s">
        <v>1967</v>
      </c>
      <c r="Z12" s="518" t="s">
        <v>1968</v>
      </c>
      <c r="AA12" s="518" t="s">
        <v>1969</v>
      </c>
      <c r="AC12" s="519"/>
    </row>
    <row r="13" spans="2:29">
      <c r="B13" s="6"/>
      <c r="C13" s="21"/>
      <c r="E13" s="6"/>
      <c r="G13" s="520"/>
      <c r="H13" s="521"/>
      <c r="I13" s="283" t="s">
        <v>978</v>
      </c>
      <c r="J13" s="283" t="s">
        <v>978</v>
      </c>
      <c r="K13" s="283" t="s">
        <v>978</v>
      </c>
      <c r="L13" s="283" t="s">
        <v>978</v>
      </c>
      <c r="M13" s="283" t="s">
        <v>978</v>
      </c>
      <c r="N13" s="283" t="s">
        <v>978</v>
      </c>
      <c r="O13" s="283" t="s">
        <v>978</v>
      </c>
      <c r="P13" s="283" t="s">
        <v>978</v>
      </c>
      <c r="Q13" s="283" t="s">
        <v>978</v>
      </c>
      <c r="R13" s="283" t="s">
        <v>978</v>
      </c>
      <c r="S13" s="283" t="s">
        <v>978</v>
      </c>
      <c r="T13" s="283" t="s">
        <v>978</v>
      </c>
      <c r="U13" s="283" t="s">
        <v>978</v>
      </c>
      <c r="V13" s="283" t="s">
        <v>978</v>
      </c>
      <c r="W13" s="283" t="s">
        <v>978</v>
      </c>
      <c r="X13" s="283" t="s">
        <v>1973</v>
      </c>
      <c r="Y13" s="283" t="s">
        <v>978</v>
      </c>
      <c r="Z13" s="283" t="s">
        <v>978</v>
      </c>
      <c r="AA13" s="283" t="s">
        <v>978</v>
      </c>
      <c r="AC13" s="285"/>
    </row>
    <row r="14" spans="2:29">
      <c r="B14" s="6"/>
      <c r="C14" s="21"/>
      <c r="E14" s="6"/>
      <c r="G14" s="520"/>
      <c r="H14" s="521"/>
      <c r="I14" s="283" t="s">
        <v>1170</v>
      </c>
      <c r="J14" s="283" t="s">
        <v>1170</v>
      </c>
      <c r="K14" s="283" t="s">
        <v>1170</v>
      </c>
      <c r="L14" s="283" t="s">
        <v>1170</v>
      </c>
      <c r="M14" s="283" t="s">
        <v>1170</v>
      </c>
      <c r="N14" s="283" t="s">
        <v>1170</v>
      </c>
      <c r="O14" s="283" t="s">
        <v>1170</v>
      </c>
      <c r="P14" s="283" t="s">
        <v>1170</v>
      </c>
      <c r="Q14" s="283" t="s">
        <v>1170</v>
      </c>
      <c r="R14" s="283" t="s">
        <v>1170</v>
      </c>
      <c r="S14" s="283" t="s">
        <v>1170</v>
      </c>
      <c r="T14" s="283" t="s">
        <v>1170</v>
      </c>
      <c r="U14" s="283" t="s">
        <v>1170</v>
      </c>
      <c r="V14" s="283" t="s">
        <v>1170</v>
      </c>
      <c r="W14" s="283" t="s">
        <v>1170</v>
      </c>
      <c r="X14" s="283" t="s">
        <v>1974</v>
      </c>
      <c r="Y14" s="283" t="s">
        <v>1170</v>
      </c>
      <c r="Z14" s="283" t="s">
        <v>1170</v>
      </c>
      <c r="AA14" s="283" t="s">
        <v>1170</v>
      </c>
      <c r="AC14" s="285"/>
    </row>
    <row r="15" spans="2:29">
      <c r="B15" s="6"/>
      <c r="C15" s="21"/>
      <c r="E15" s="6"/>
      <c r="G15" s="520"/>
      <c r="H15" s="521"/>
      <c r="I15" s="283" t="s">
        <v>398</v>
      </c>
      <c r="J15" s="283" t="s">
        <v>398</v>
      </c>
      <c r="K15" s="283" t="s">
        <v>398</v>
      </c>
      <c r="L15" s="283" t="s">
        <v>398</v>
      </c>
      <c r="M15" s="283" t="s">
        <v>398</v>
      </c>
      <c r="N15" s="283" t="s">
        <v>398</v>
      </c>
      <c r="O15" s="283" t="s">
        <v>398</v>
      </c>
      <c r="P15" s="283" t="s">
        <v>398</v>
      </c>
      <c r="Q15" s="283" t="s">
        <v>398</v>
      </c>
      <c r="R15" s="283" t="s">
        <v>398</v>
      </c>
      <c r="S15" s="283" t="s">
        <v>398</v>
      </c>
      <c r="T15" s="283" t="s">
        <v>398</v>
      </c>
      <c r="U15" s="283" t="s">
        <v>398</v>
      </c>
      <c r="V15" s="283" t="s">
        <v>398</v>
      </c>
      <c r="W15" s="283" t="s">
        <v>398</v>
      </c>
      <c r="X15" s="283"/>
      <c r="Y15" s="283" t="s">
        <v>398</v>
      </c>
      <c r="Z15" s="283" t="s">
        <v>398</v>
      </c>
      <c r="AA15" s="283" t="s">
        <v>398</v>
      </c>
      <c r="AC15" s="285"/>
    </row>
    <row r="16" spans="2:29">
      <c r="B16" s="6"/>
      <c r="C16" s="21"/>
      <c r="E16" s="6"/>
      <c r="G16" s="522"/>
      <c r="H16" s="523"/>
      <c r="I16" s="291"/>
      <c r="J16" s="291"/>
      <c r="K16" s="291"/>
      <c r="L16" s="291"/>
      <c r="M16" s="291"/>
      <c r="N16" s="291"/>
      <c r="O16" s="291"/>
      <c r="P16" s="291"/>
      <c r="Q16" s="291"/>
      <c r="R16" s="291"/>
      <c r="S16" s="291"/>
      <c r="T16" s="291"/>
      <c r="U16" s="291"/>
      <c r="V16" s="291"/>
      <c r="W16" s="291"/>
      <c r="X16" s="291"/>
      <c r="Y16" s="291"/>
      <c r="Z16" s="291"/>
      <c r="AA16" s="291"/>
      <c r="AC16" s="291"/>
    </row>
    <row r="17" spans="1:29">
      <c r="A17" s="24" t="s">
        <v>879</v>
      </c>
      <c r="B17" s="21" t="s">
        <v>1171</v>
      </c>
      <c r="C17" s="21" t="s">
        <v>1172</v>
      </c>
      <c r="D17" s="21" t="s">
        <v>1173</v>
      </c>
      <c r="E17" s="21" t="s">
        <v>1174</v>
      </c>
      <c r="F17" s="6" t="s">
        <v>1175</v>
      </c>
      <c r="G17" s="520" t="s">
        <v>961</v>
      </c>
      <c r="H17" s="524" t="s">
        <v>1176</v>
      </c>
      <c r="I17" s="16"/>
      <c r="J17" s="16"/>
      <c r="K17" s="16"/>
      <c r="L17" s="16"/>
      <c r="M17" s="16"/>
      <c r="N17" s="16"/>
      <c r="O17" s="16"/>
      <c r="P17" s="16"/>
      <c r="Q17" s="16"/>
      <c r="R17" s="16"/>
      <c r="S17" s="16"/>
      <c r="T17" s="16"/>
      <c r="U17" s="16"/>
      <c r="V17" s="16"/>
      <c r="W17" s="16"/>
      <c r="X17" s="16"/>
      <c r="Y17" s="16"/>
      <c r="Z17" s="16"/>
      <c r="AA17" s="16"/>
      <c r="AB17" s="6"/>
      <c r="AC17" s="364" t="s">
        <v>874</v>
      </c>
    </row>
    <row r="18" spans="1:29">
      <c r="A18" s="24">
        <v>1</v>
      </c>
      <c r="B18" s="525"/>
      <c r="C18" s="525" t="s">
        <v>1177</v>
      </c>
      <c r="D18" s="526" t="s">
        <v>1178</v>
      </c>
      <c r="E18" s="527"/>
      <c r="F18" s="528"/>
      <c r="G18" s="525"/>
      <c r="H18" s="529"/>
      <c r="I18" s="530"/>
      <c r="J18" s="530"/>
      <c r="K18" s="530"/>
      <c r="L18" s="530"/>
      <c r="M18" s="530"/>
      <c r="N18" s="530"/>
      <c r="O18" s="530"/>
      <c r="P18" s="530"/>
      <c r="Q18" s="530"/>
      <c r="R18" s="530"/>
      <c r="S18" s="530"/>
      <c r="T18" s="530"/>
      <c r="U18" s="530"/>
      <c r="V18" s="530"/>
      <c r="W18" s="530"/>
      <c r="X18" s="530"/>
      <c r="Y18" s="530"/>
      <c r="Z18" s="530"/>
      <c r="AA18" s="530"/>
      <c r="AB18" s="17"/>
      <c r="AC18" s="531"/>
    </row>
    <row r="19" spans="1:29">
      <c r="A19" s="24">
        <v>2</v>
      </c>
      <c r="B19" s="283" t="s">
        <v>1179</v>
      </c>
      <c r="C19" s="283" t="s">
        <v>1177</v>
      </c>
      <c r="D19" s="37" t="s">
        <v>1180</v>
      </c>
      <c r="E19" s="417" t="s">
        <v>1181</v>
      </c>
      <c r="F19" s="37" t="s">
        <v>1182</v>
      </c>
      <c r="G19" s="283" t="s">
        <v>1183</v>
      </c>
      <c r="H19" s="532">
        <v>4.1300000000000003E-2</v>
      </c>
      <c r="I19" s="533"/>
      <c r="J19" s="533"/>
      <c r="K19" s="533"/>
      <c r="L19" s="533">
        <v>0</v>
      </c>
      <c r="M19" s="533">
        <v>0</v>
      </c>
      <c r="N19" s="533">
        <v>0</v>
      </c>
      <c r="O19" s="533">
        <v>0</v>
      </c>
      <c r="P19" s="533">
        <v>0</v>
      </c>
      <c r="Q19" s="533">
        <v>0</v>
      </c>
      <c r="R19" s="533">
        <v>-47.47</v>
      </c>
      <c r="S19" s="533">
        <v>0</v>
      </c>
      <c r="T19" s="533">
        <v>0</v>
      </c>
      <c r="U19" s="533">
        <v>0</v>
      </c>
      <c r="V19" s="533">
        <v>0</v>
      </c>
      <c r="W19" s="533">
        <v>0</v>
      </c>
      <c r="X19" s="533">
        <f>SUM(I19:W19)</f>
        <v>-47.47</v>
      </c>
      <c r="Y19" s="533">
        <v>0</v>
      </c>
      <c r="Z19" s="533">
        <v>0</v>
      </c>
      <c r="AA19" s="533">
        <v>0</v>
      </c>
      <c r="AB19" s="17"/>
      <c r="AC19" s="534">
        <f t="shared" ref="AC19:AC30" si="0">SUM(I19:AB19)-X19</f>
        <v>-47.47</v>
      </c>
    </row>
    <row r="20" spans="1:29">
      <c r="A20" s="24">
        <v>3</v>
      </c>
      <c r="B20" s="283" t="s">
        <v>1184</v>
      </c>
      <c r="C20" s="283" t="s">
        <v>1177</v>
      </c>
      <c r="D20" s="37" t="s">
        <v>1185</v>
      </c>
      <c r="E20" s="417" t="s">
        <v>1186</v>
      </c>
      <c r="F20" s="37" t="s">
        <v>1182</v>
      </c>
      <c r="G20" s="283" t="s">
        <v>1187</v>
      </c>
      <c r="H20" s="532">
        <v>3.3300000000000003E-2</v>
      </c>
      <c r="I20" s="533"/>
      <c r="J20" s="533"/>
      <c r="K20" s="533"/>
      <c r="L20" s="533">
        <v>0</v>
      </c>
      <c r="M20" s="533">
        <v>0</v>
      </c>
      <c r="N20" s="533">
        <v>0</v>
      </c>
      <c r="O20" s="533">
        <v>0</v>
      </c>
      <c r="P20" s="533">
        <v>0</v>
      </c>
      <c r="Q20" s="533">
        <v>0</v>
      </c>
      <c r="R20" s="533">
        <v>0</v>
      </c>
      <c r="S20" s="533">
        <v>0</v>
      </c>
      <c r="T20" s="533">
        <v>0</v>
      </c>
      <c r="U20" s="533">
        <v>0</v>
      </c>
      <c r="V20" s="533">
        <v>0</v>
      </c>
      <c r="W20" s="533">
        <v>0</v>
      </c>
      <c r="X20" s="533">
        <f t="shared" ref="X20:X71" si="1">SUM(I20:W20)</f>
        <v>0</v>
      </c>
      <c r="Y20" s="533">
        <v>0</v>
      </c>
      <c r="Z20" s="533">
        <v>0</v>
      </c>
      <c r="AA20" s="533">
        <v>0</v>
      </c>
      <c r="AB20" s="17"/>
      <c r="AC20" s="534">
        <f t="shared" si="0"/>
        <v>0</v>
      </c>
    </row>
    <row r="21" spans="1:29">
      <c r="A21" s="24">
        <v>4</v>
      </c>
      <c r="B21" s="283" t="s">
        <v>1188</v>
      </c>
      <c r="C21" s="283" t="s">
        <v>1177</v>
      </c>
      <c r="D21" s="37" t="s">
        <v>1185</v>
      </c>
      <c r="E21" s="417" t="s">
        <v>1189</v>
      </c>
      <c r="F21" s="37" t="s">
        <v>1182</v>
      </c>
      <c r="G21" s="283" t="s">
        <v>1187</v>
      </c>
      <c r="H21" s="532">
        <v>3.3300000000000003E-2</v>
      </c>
      <c r="I21" s="533"/>
      <c r="J21" s="533"/>
      <c r="K21" s="533"/>
      <c r="L21" s="533">
        <v>0</v>
      </c>
      <c r="M21" s="533">
        <v>0</v>
      </c>
      <c r="N21" s="533">
        <v>0</v>
      </c>
      <c r="O21" s="533">
        <v>0</v>
      </c>
      <c r="P21" s="533">
        <v>0</v>
      </c>
      <c r="Q21" s="533">
        <v>0</v>
      </c>
      <c r="R21" s="533">
        <v>0</v>
      </c>
      <c r="S21" s="533">
        <v>0</v>
      </c>
      <c r="T21" s="533">
        <v>0</v>
      </c>
      <c r="U21" s="533">
        <v>0</v>
      </c>
      <c r="V21" s="533">
        <v>0</v>
      </c>
      <c r="W21" s="533">
        <v>0</v>
      </c>
      <c r="X21" s="533">
        <f t="shared" si="1"/>
        <v>0</v>
      </c>
      <c r="Y21" s="533">
        <v>0</v>
      </c>
      <c r="Z21" s="533">
        <v>0</v>
      </c>
      <c r="AA21" s="533">
        <v>0</v>
      </c>
      <c r="AB21" s="17"/>
      <c r="AC21" s="534">
        <f t="shared" si="0"/>
        <v>0</v>
      </c>
    </row>
    <row r="22" spans="1:29">
      <c r="A22" s="24">
        <v>5</v>
      </c>
      <c r="B22" s="283" t="s">
        <v>1190</v>
      </c>
      <c r="C22" s="283" t="s">
        <v>1177</v>
      </c>
      <c r="D22" s="37" t="s">
        <v>1191</v>
      </c>
      <c r="E22" s="417" t="s">
        <v>1192</v>
      </c>
      <c r="F22" s="37" t="s">
        <v>1182</v>
      </c>
      <c r="G22" s="283" t="s">
        <v>1187</v>
      </c>
      <c r="H22" s="532">
        <v>3.3300000000000003E-2</v>
      </c>
      <c r="I22" s="533"/>
      <c r="J22" s="533"/>
      <c r="K22" s="533"/>
      <c r="L22" s="533">
        <v>0</v>
      </c>
      <c r="M22" s="533">
        <v>0</v>
      </c>
      <c r="N22" s="533">
        <v>0</v>
      </c>
      <c r="O22" s="533">
        <v>0</v>
      </c>
      <c r="P22" s="533">
        <v>0</v>
      </c>
      <c r="Q22" s="533">
        <v>0</v>
      </c>
      <c r="R22" s="533">
        <v>47.47</v>
      </c>
      <c r="S22" s="533">
        <v>0</v>
      </c>
      <c r="T22" s="533">
        <v>0</v>
      </c>
      <c r="U22" s="533">
        <v>0</v>
      </c>
      <c r="V22" s="533">
        <v>0</v>
      </c>
      <c r="W22" s="533">
        <v>0</v>
      </c>
      <c r="X22" s="533">
        <f t="shared" si="1"/>
        <v>47.47</v>
      </c>
      <c r="Y22" s="533">
        <v>0</v>
      </c>
      <c r="Z22" s="533">
        <v>0</v>
      </c>
      <c r="AA22" s="533">
        <v>0</v>
      </c>
      <c r="AB22" s="17"/>
      <c r="AC22" s="534">
        <f t="shared" si="0"/>
        <v>47.47</v>
      </c>
    </row>
    <row r="23" spans="1:29">
      <c r="A23" s="24">
        <v>6</v>
      </c>
      <c r="B23" s="283" t="s">
        <v>1193</v>
      </c>
      <c r="C23" s="283" t="s">
        <v>1177</v>
      </c>
      <c r="D23" s="37" t="s">
        <v>1194</v>
      </c>
      <c r="E23" s="417" t="s">
        <v>1195</v>
      </c>
      <c r="F23" s="37" t="s">
        <v>1182</v>
      </c>
      <c r="G23" s="283" t="s">
        <v>1187</v>
      </c>
      <c r="H23" s="532">
        <v>1.2500000000000001E-2</v>
      </c>
      <c r="I23" s="533"/>
      <c r="J23" s="533"/>
      <c r="K23" s="533"/>
      <c r="L23" s="533">
        <v>496358.98</v>
      </c>
      <c r="M23" s="533">
        <v>107295.45</v>
      </c>
      <c r="N23" s="533">
        <v>0</v>
      </c>
      <c r="O23" s="533">
        <v>784.15</v>
      </c>
      <c r="P23" s="533">
        <v>692.25</v>
      </c>
      <c r="Q23" s="533">
        <v>0</v>
      </c>
      <c r="R23" s="533">
        <v>3780.9</v>
      </c>
      <c r="S23" s="533">
        <v>6007.19</v>
      </c>
      <c r="T23" s="533">
        <v>0</v>
      </c>
      <c r="U23" s="533">
        <v>321.2</v>
      </c>
      <c r="V23" s="533">
        <v>0</v>
      </c>
      <c r="W23" s="533">
        <v>0</v>
      </c>
      <c r="X23" s="533">
        <f t="shared" si="1"/>
        <v>615240.11999999988</v>
      </c>
      <c r="Y23" s="533">
        <v>0</v>
      </c>
      <c r="Z23" s="533">
        <v>0</v>
      </c>
      <c r="AA23" s="533">
        <v>0</v>
      </c>
      <c r="AB23" s="17"/>
      <c r="AC23" s="534">
        <f t="shared" si="0"/>
        <v>615240.11999999988</v>
      </c>
    </row>
    <row r="24" spans="1:29">
      <c r="A24" s="24">
        <v>7</v>
      </c>
      <c r="B24" s="283" t="s">
        <v>1196</v>
      </c>
      <c r="C24" s="283" t="s">
        <v>1177</v>
      </c>
      <c r="D24" s="37" t="s">
        <v>1197</v>
      </c>
      <c r="E24" s="417" t="s">
        <v>1198</v>
      </c>
      <c r="F24" s="37" t="s">
        <v>1182</v>
      </c>
      <c r="G24" s="283" t="s">
        <v>1183</v>
      </c>
      <c r="H24" s="532">
        <v>4.1300000000000003E-2</v>
      </c>
      <c r="I24" s="533"/>
      <c r="J24" s="533"/>
      <c r="K24" s="533"/>
      <c r="L24" s="533">
        <v>19344.52</v>
      </c>
      <c r="M24" s="533">
        <v>17842.55</v>
      </c>
      <c r="N24" s="533">
        <v>919.46</v>
      </c>
      <c r="O24" s="533">
        <v>111681.13</v>
      </c>
      <c r="P24" s="533">
        <v>17571.3</v>
      </c>
      <c r="Q24" s="533">
        <v>3957.35</v>
      </c>
      <c r="R24" s="533">
        <v>3756.31</v>
      </c>
      <c r="S24" s="533">
        <v>75505.39</v>
      </c>
      <c r="T24" s="533">
        <v>0</v>
      </c>
      <c r="U24" s="533">
        <v>0</v>
      </c>
      <c r="V24" s="533">
        <v>0</v>
      </c>
      <c r="W24" s="533">
        <v>0</v>
      </c>
      <c r="X24" s="533">
        <f t="shared" si="1"/>
        <v>250578.01</v>
      </c>
      <c r="Y24" s="533">
        <v>0</v>
      </c>
      <c r="Z24" s="533">
        <v>0</v>
      </c>
      <c r="AA24" s="533">
        <v>0</v>
      </c>
      <c r="AB24" s="17"/>
      <c r="AC24" s="534">
        <f t="shared" si="0"/>
        <v>250578.01</v>
      </c>
    </row>
    <row r="25" spans="1:29">
      <c r="A25" s="24">
        <v>8</v>
      </c>
      <c r="B25" s="283" t="s">
        <v>1199</v>
      </c>
      <c r="C25" s="283" t="s">
        <v>1177</v>
      </c>
      <c r="D25" s="37" t="s">
        <v>1200</v>
      </c>
      <c r="E25" s="417" t="s">
        <v>1201</v>
      </c>
      <c r="F25" s="37" t="s">
        <v>1182</v>
      </c>
      <c r="G25" s="283" t="s">
        <v>1183</v>
      </c>
      <c r="H25" s="532">
        <v>4.1300000000000003E-2</v>
      </c>
      <c r="I25" s="533"/>
      <c r="J25" s="533"/>
      <c r="K25" s="533"/>
      <c r="L25" s="533">
        <v>137632.98000000001</v>
      </c>
      <c r="M25" s="533">
        <v>0</v>
      </c>
      <c r="N25" s="533">
        <v>2091.09</v>
      </c>
      <c r="O25" s="533">
        <v>572.14</v>
      </c>
      <c r="P25" s="533">
        <v>2191.7800000000002</v>
      </c>
      <c r="Q25" s="533">
        <v>1446.56</v>
      </c>
      <c r="R25" s="533">
        <v>856.26</v>
      </c>
      <c r="S25" s="533">
        <v>10426.48</v>
      </c>
      <c r="T25" s="533">
        <v>0</v>
      </c>
      <c r="U25" s="533">
        <v>0</v>
      </c>
      <c r="V25" s="533">
        <v>0</v>
      </c>
      <c r="W25" s="533">
        <v>0</v>
      </c>
      <c r="X25" s="533">
        <f t="shared" si="1"/>
        <v>155217.29000000004</v>
      </c>
      <c r="Y25" s="533">
        <v>0</v>
      </c>
      <c r="Z25" s="533">
        <v>0</v>
      </c>
      <c r="AA25" s="533">
        <v>0</v>
      </c>
      <c r="AB25" s="17"/>
      <c r="AC25" s="534">
        <f t="shared" si="0"/>
        <v>155217.29000000004</v>
      </c>
    </row>
    <row r="26" spans="1:29">
      <c r="A26" s="24">
        <v>9</v>
      </c>
      <c r="B26" s="283" t="s">
        <v>1202</v>
      </c>
      <c r="C26" s="283" t="s">
        <v>1177</v>
      </c>
      <c r="D26" s="37" t="s">
        <v>1203</v>
      </c>
      <c r="E26" s="417" t="s">
        <v>1204</v>
      </c>
      <c r="F26" s="37" t="s">
        <v>1182</v>
      </c>
      <c r="G26" s="283" t="s">
        <v>1183</v>
      </c>
      <c r="H26" s="532">
        <v>4.1300000000000003E-2</v>
      </c>
      <c r="I26" s="533"/>
      <c r="J26" s="533"/>
      <c r="K26" s="533"/>
      <c r="L26" s="533">
        <v>87559.86</v>
      </c>
      <c r="M26" s="533">
        <v>100089.63</v>
      </c>
      <c r="N26" s="533">
        <v>63297.49</v>
      </c>
      <c r="O26" s="533">
        <v>29531.54</v>
      </c>
      <c r="P26" s="533">
        <v>14359.95</v>
      </c>
      <c r="Q26" s="533">
        <v>735.72</v>
      </c>
      <c r="R26" s="533">
        <v>1071.99</v>
      </c>
      <c r="S26" s="533">
        <v>54404.55</v>
      </c>
      <c r="T26" s="533">
        <v>0</v>
      </c>
      <c r="U26" s="533">
        <v>0</v>
      </c>
      <c r="V26" s="533">
        <v>0</v>
      </c>
      <c r="W26" s="533">
        <v>0</v>
      </c>
      <c r="X26" s="533">
        <f t="shared" si="1"/>
        <v>351050.72999999992</v>
      </c>
      <c r="Y26" s="533">
        <v>0</v>
      </c>
      <c r="Z26" s="533">
        <v>0</v>
      </c>
      <c r="AA26" s="533">
        <v>0</v>
      </c>
      <c r="AB26" s="17"/>
      <c r="AC26" s="534">
        <f t="shared" si="0"/>
        <v>351050.72999999992</v>
      </c>
    </row>
    <row r="27" spans="1:29">
      <c r="A27" s="24">
        <v>10</v>
      </c>
      <c r="B27" s="283" t="s">
        <v>1205</v>
      </c>
      <c r="C27" s="283" t="s">
        <v>1177</v>
      </c>
      <c r="D27" s="37" t="s">
        <v>1206</v>
      </c>
      <c r="E27" s="417" t="s">
        <v>1207</v>
      </c>
      <c r="F27" s="37" t="s">
        <v>1182</v>
      </c>
      <c r="G27" s="283" t="s">
        <v>1183</v>
      </c>
      <c r="H27" s="532">
        <v>4.1300000000000003E-2</v>
      </c>
      <c r="I27" s="533"/>
      <c r="J27" s="533"/>
      <c r="K27" s="533"/>
      <c r="L27" s="533">
        <v>37813.14</v>
      </c>
      <c r="M27" s="533">
        <v>22981.22</v>
      </c>
      <c r="N27" s="533">
        <v>366999.34</v>
      </c>
      <c r="O27" s="533">
        <v>2520.9499999999998</v>
      </c>
      <c r="P27" s="533">
        <v>22261.99</v>
      </c>
      <c r="Q27" s="533">
        <v>9451.68</v>
      </c>
      <c r="R27" s="533">
        <v>10116.379999999999</v>
      </c>
      <c r="S27" s="533">
        <v>81627.14</v>
      </c>
      <c r="T27" s="533">
        <v>0</v>
      </c>
      <c r="U27" s="533">
        <v>0</v>
      </c>
      <c r="V27" s="533">
        <v>0</v>
      </c>
      <c r="W27" s="533">
        <v>0</v>
      </c>
      <c r="X27" s="533">
        <f t="shared" si="1"/>
        <v>553771.84</v>
      </c>
      <c r="Y27" s="533">
        <v>0</v>
      </c>
      <c r="Z27" s="533">
        <v>0</v>
      </c>
      <c r="AA27" s="533">
        <v>0</v>
      </c>
      <c r="AB27" s="17"/>
      <c r="AC27" s="534">
        <f t="shared" si="0"/>
        <v>553771.84</v>
      </c>
    </row>
    <row r="28" spans="1:29">
      <c r="A28" s="24">
        <v>11</v>
      </c>
      <c r="B28" s="283" t="s">
        <v>1208</v>
      </c>
      <c r="C28" s="283" t="s">
        <v>1177</v>
      </c>
      <c r="D28" s="37" t="s">
        <v>1209</v>
      </c>
      <c r="E28" s="417" t="s">
        <v>1210</v>
      </c>
      <c r="F28" s="37" t="s">
        <v>1182</v>
      </c>
      <c r="G28" s="283" t="s">
        <v>1183</v>
      </c>
      <c r="H28" s="532">
        <v>4.1300000000000003E-2</v>
      </c>
      <c r="I28" s="533"/>
      <c r="J28" s="533"/>
      <c r="K28" s="533"/>
      <c r="L28" s="533">
        <v>56461.45</v>
      </c>
      <c r="M28" s="533">
        <v>8360.2000000000007</v>
      </c>
      <c r="N28" s="533">
        <v>8252.6200000000008</v>
      </c>
      <c r="O28" s="533">
        <v>0</v>
      </c>
      <c r="P28" s="533">
        <v>0</v>
      </c>
      <c r="Q28" s="533">
        <v>0</v>
      </c>
      <c r="R28" s="533">
        <v>0</v>
      </c>
      <c r="S28" s="533">
        <v>37231.06</v>
      </c>
      <c r="T28" s="533">
        <v>0</v>
      </c>
      <c r="U28" s="533">
        <v>0</v>
      </c>
      <c r="V28" s="533">
        <v>0</v>
      </c>
      <c r="W28" s="533">
        <v>0</v>
      </c>
      <c r="X28" s="533">
        <f t="shared" si="1"/>
        <v>110305.32999999999</v>
      </c>
      <c r="Y28" s="533">
        <v>0</v>
      </c>
      <c r="Z28" s="533">
        <v>0</v>
      </c>
      <c r="AA28" s="533">
        <v>0</v>
      </c>
      <c r="AB28" s="17"/>
      <c r="AC28" s="534">
        <f t="shared" si="0"/>
        <v>110305.32999999999</v>
      </c>
    </row>
    <row r="29" spans="1:29">
      <c r="A29" s="24">
        <v>12</v>
      </c>
      <c r="B29" s="535" t="s">
        <v>1211</v>
      </c>
      <c r="C29" s="536" t="s">
        <v>1177</v>
      </c>
      <c r="D29" s="537" t="s">
        <v>1212</v>
      </c>
      <c r="E29" s="538" t="s">
        <v>1213</v>
      </c>
      <c r="F29" s="537" t="s">
        <v>1182</v>
      </c>
      <c r="G29" s="536" t="s">
        <v>1183</v>
      </c>
      <c r="H29" s="532">
        <v>4.1300000000000003E-2</v>
      </c>
      <c r="I29" s="533"/>
      <c r="J29" s="533"/>
      <c r="K29" s="533"/>
      <c r="L29" s="533">
        <v>0</v>
      </c>
      <c r="M29" s="533">
        <v>0</v>
      </c>
      <c r="N29" s="533">
        <v>0</v>
      </c>
      <c r="O29" s="533">
        <v>0</v>
      </c>
      <c r="P29" s="533">
        <v>0</v>
      </c>
      <c r="Q29" s="533">
        <v>0</v>
      </c>
      <c r="R29" s="533">
        <v>0</v>
      </c>
      <c r="S29" s="533">
        <v>143.84</v>
      </c>
      <c r="T29" s="533">
        <v>1678.71</v>
      </c>
      <c r="U29" s="533">
        <v>45350.63</v>
      </c>
      <c r="V29" s="533">
        <v>17059.03</v>
      </c>
      <c r="W29" s="533">
        <v>10396.68</v>
      </c>
      <c r="X29" s="533">
        <f t="shared" si="1"/>
        <v>74628.89</v>
      </c>
      <c r="Y29" s="533">
        <v>491494.78</v>
      </c>
      <c r="Z29" s="533">
        <v>378425.64</v>
      </c>
      <c r="AA29" s="533">
        <v>1349738.71</v>
      </c>
      <c r="AB29" s="17"/>
      <c r="AC29" s="534">
        <f t="shared" si="0"/>
        <v>2294288.02</v>
      </c>
    </row>
    <row r="30" spans="1:29">
      <c r="A30" s="24">
        <v>13</v>
      </c>
      <c r="B30" s="525" t="s">
        <v>1214</v>
      </c>
      <c r="C30" s="525" t="s">
        <v>1215</v>
      </c>
      <c r="D30" s="528" t="s">
        <v>1216</v>
      </c>
      <c r="E30" s="539" t="s">
        <v>1213</v>
      </c>
      <c r="F30" s="528" t="s">
        <v>1182</v>
      </c>
      <c r="G30" s="525" t="s">
        <v>1217</v>
      </c>
      <c r="H30" s="529">
        <v>1.2500000000000001E-2</v>
      </c>
      <c r="I30" s="530">
        <v>0</v>
      </c>
      <c r="J30" s="530">
        <v>0</v>
      </c>
      <c r="K30" s="530">
        <v>0</v>
      </c>
      <c r="L30" s="530">
        <v>0</v>
      </c>
      <c r="M30" s="530">
        <v>0</v>
      </c>
      <c r="N30" s="530">
        <v>0</v>
      </c>
      <c r="O30" s="530">
        <v>0</v>
      </c>
      <c r="P30" s="530">
        <v>0</v>
      </c>
      <c r="Q30" s="530">
        <v>0</v>
      </c>
      <c r="R30" s="530">
        <v>34057.68</v>
      </c>
      <c r="S30" s="530">
        <v>16919.71</v>
      </c>
      <c r="T30" s="530">
        <v>57710.06</v>
      </c>
      <c r="U30" s="530">
        <v>16298.62</v>
      </c>
      <c r="V30" s="530">
        <v>159971.60999999999</v>
      </c>
      <c r="W30" s="530">
        <v>2178.64</v>
      </c>
      <c r="X30" s="533">
        <f t="shared" si="1"/>
        <v>287136.32</v>
      </c>
      <c r="Y30" s="530">
        <v>140721.99</v>
      </c>
      <c r="Z30" s="530">
        <v>2111.88</v>
      </c>
      <c r="AA30" s="530">
        <v>53927.27</v>
      </c>
      <c r="AB30" s="17"/>
      <c r="AC30" s="540">
        <f t="shared" si="0"/>
        <v>483897.46</v>
      </c>
    </row>
    <row r="31" spans="1:29">
      <c r="A31" s="24">
        <v>14</v>
      </c>
      <c r="B31" s="525"/>
      <c r="C31" s="525" t="s">
        <v>1218</v>
      </c>
      <c r="D31" s="526" t="s">
        <v>1219</v>
      </c>
      <c r="E31" s="527"/>
      <c r="F31" s="528"/>
      <c r="G31" s="525"/>
      <c r="H31" s="529"/>
      <c r="I31" s="530">
        <v>0</v>
      </c>
      <c r="J31" s="530">
        <v>0</v>
      </c>
      <c r="K31" s="530">
        <v>0</v>
      </c>
      <c r="L31" s="530">
        <v>0</v>
      </c>
      <c r="M31" s="530">
        <v>0</v>
      </c>
      <c r="N31" s="530">
        <v>0</v>
      </c>
      <c r="O31" s="530">
        <v>0</v>
      </c>
      <c r="P31" s="530">
        <v>0</v>
      </c>
      <c r="Q31" s="530">
        <v>0</v>
      </c>
      <c r="R31" s="530">
        <v>0</v>
      </c>
      <c r="S31" s="530">
        <v>0</v>
      </c>
      <c r="T31" s="530">
        <v>0</v>
      </c>
      <c r="U31" s="530">
        <v>0</v>
      </c>
      <c r="V31" s="530">
        <v>0</v>
      </c>
      <c r="W31" s="530">
        <v>0</v>
      </c>
      <c r="X31" s="533">
        <f t="shared" si="1"/>
        <v>0</v>
      </c>
      <c r="Y31" s="530">
        <v>0</v>
      </c>
      <c r="Z31" s="530">
        <v>0</v>
      </c>
      <c r="AA31" s="530">
        <v>0</v>
      </c>
      <c r="AB31" s="17"/>
      <c r="AC31" s="534"/>
    </row>
    <row r="32" spans="1:29">
      <c r="A32" s="24">
        <v>15</v>
      </c>
      <c r="B32" s="283" t="s">
        <v>1220</v>
      </c>
      <c r="C32" s="283" t="s">
        <v>1218</v>
      </c>
      <c r="D32" s="37" t="s">
        <v>1221</v>
      </c>
      <c r="E32" s="417" t="s">
        <v>1213</v>
      </c>
      <c r="F32" s="37" t="s">
        <v>1222</v>
      </c>
      <c r="G32" s="283" t="s">
        <v>1223</v>
      </c>
      <c r="H32" s="532">
        <v>1.9199999999999998E-2</v>
      </c>
      <c r="I32" s="533">
        <v>0</v>
      </c>
      <c r="J32" s="533">
        <v>0</v>
      </c>
      <c r="K32" s="533">
        <v>577.02</v>
      </c>
      <c r="L32" s="533">
        <v>3.24</v>
      </c>
      <c r="M32" s="533">
        <v>2952.26</v>
      </c>
      <c r="N32" s="533">
        <v>918.6</v>
      </c>
      <c r="O32" s="533">
        <v>13201.96</v>
      </c>
      <c r="P32" s="533">
        <v>9068.6299999999992</v>
      </c>
      <c r="Q32" s="533">
        <v>137.9</v>
      </c>
      <c r="R32" s="533">
        <v>84.77</v>
      </c>
      <c r="S32" s="533">
        <v>192.36</v>
      </c>
      <c r="T32" s="533">
        <v>130.05000000000001</v>
      </c>
      <c r="U32" s="533">
        <v>123.06</v>
      </c>
      <c r="V32" s="533">
        <v>144.04</v>
      </c>
      <c r="W32" s="533">
        <v>210.51</v>
      </c>
      <c r="X32" s="533">
        <f t="shared" si="1"/>
        <v>27744.400000000001</v>
      </c>
      <c r="Y32" s="533">
        <v>151.09</v>
      </c>
      <c r="Z32" s="533">
        <v>-62.45</v>
      </c>
      <c r="AA32" s="533">
        <v>136.83000000000001</v>
      </c>
      <c r="AB32" s="37"/>
      <c r="AC32" s="534">
        <f t="shared" ref="AC32:AC39" si="2">SUM(I32:AB32)-X32</f>
        <v>27969.870000000003</v>
      </c>
    </row>
    <row r="33" spans="1:29">
      <c r="A33" s="24">
        <v>16</v>
      </c>
      <c r="B33" s="283" t="s">
        <v>1224</v>
      </c>
      <c r="C33" s="283" t="s">
        <v>1218</v>
      </c>
      <c r="D33" s="541" t="s">
        <v>1225</v>
      </c>
      <c r="E33" s="283" t="s">
        <v>1213</v>
      </c>
      <c r="F33" s="541" t="s">
        <v>1222</v>
      </c>
      <c r="G33" s="283" t="s">
        <v>1226</v>
      </c>
      <c r="H33" s="532">
        <v>1.8200000000000001E-2</v>
      </c>
      <c r="I33" s="533">
        <v>0</v>
      </c>
      <c r="J33" s="533">
        <v>0</v>
      </c>
      <c r="K33" s="533">
        <v>0</v>
      </c>
      <c r="L33" s="533">
        <v>0</v>
      </c>
      <c r="M33" s="533">
        <v>0</v>
      </c>
      <c r="N33" s="533">
        <v>1056.42</v>
      </c>
      <c r="O33" s="533">
        <v>-1235.98</v>
      </c>
      <c r="P33" s="533">
        <v>0</v>
      </c>
      <c r="Q33" s="533">
        <v>0</v>
      </c>
      <c r="R33" s="533">
        <v>0</v>
      </c>
      <c r="S33" s="533">
        <v>0</v>
      </c>
      <c r="T33" s="533">
        <v>0</v>
      </c>
      <c r="U33" s="533">
        <v>0</v>
      </c>
      <c r="V33" s="533">
        <v>0</v>
      </c>
      <c r="W33" s="533">
        <v>0</v>
      </c>
      <c r="X33" s="533">
        <f t="shared" si="1"/>
        <v>-179.55999999999995</v>
      </c>
      <c r="Y33" s="533">
        <v>0</v>
      </c>
      <c r="Z33" s="533">
        <v>0</v>
      </c>
      <c r="AA33" s="533">
        <v>0</v>
      </c>
      <c r="AB33" s="17"/>
      <c r="AC33" s="534">
        <f t="shared" si="2"/>
        <v>-179.55999999999995</v>
      </c>
    </row>
    <row r="34" spans="1:29">
      <c r="A34" s="24">
        <v>17</v>
      </c>
      <c r="B34" s="283" t="s">
        <v>1227</v>
      </c>
      <c r="C34" s="283" t="s">
        <v>1218</v>
      </c>
      <c r="D34" s="541" t="s">
        <v>1228</v>
      </c>
      <c r="E34" s="283" t="s">
        <v>1229</v>
      </c>
      <c r="F34" s="541" t="s">
        <v>1222</v>
      </c>
      <c r="G34" s="283" t="s">
        <v>1226</v>
      </c>
      <c r="H34" s="532">
        <v>1.8200000000000001E-2</v>
      </c>
      <c r="I34" s="533">
        <v>0</v>
      </c>
      <c r="J34" s="533">
        <v>0</v>
      </c>
      <c r="K34" s="533">
        <v>0</v>
      </c>
      <c r="L34" s="533">
        <v>0</v>
      </c>
      <c r="M34" s="533">
        <v>2283.4</v>
      </c>
      <c r="N34" s="533">
        <v>102941.2</v>
      </c>
      <c r="O34" s="533">
        <v>28654.240000000002</v>
      </c>
      <c r="P34" s="533">
        <v>40385.589999999997</v>
      </c>
      <c r="Q34" s="533">
        <v>140584.06</v>
      </c>
      <c r="R34" s="533">
        <v>14479.45</v>
      </c>
      <c r="S34" s="533">
        <v>14623.13</v>
      </c>
      <c r="T34" s="533">
        <v>0</v>
      </c>
      <c r="U34" s="533">
        <v>0</v>
      </c>
      <c r="V34" s="533">
        <v>0</v>
      </c>
      <c r="W34" s="533">
        <v>0</v>
      </c>
      <c r="X34" s="533">
        <f t="shared" si="1"/>
        <v>343951.07</v>
      </c>
      <c r="Y34" s="533">
        <v>0</v>
      </c>
      <c r="Z34" s="533">
        <v>0</v>
      </c>
      <c r="AA34" s="533">
        <v>0</v>
      </c>
      <c r="AB34" s="17"/>
      <c r="AC34" s="534">
        <f t="shared" si="2"/>
        <v>343951.07</v>
      </c>
    </row>
    <row r="35" spans="1:29">
      <c r="A35" s="24">
        <v>18</v>
      </c>
      <c r="B35" s="536" t="s">
        <v>1230</v>
      </c>
      <c r="C35" s="283" t="s">
        <v>1218</v>
      </c>
      <c r="D35" s="537" t="s">
        <v>1231</v>
      </c>
      <c r="E35" s="417" t="s">
        <v>1232</v>
      </c>
      <c r="F35" s="541" t="s">
        <v>1222</v>
      </c>
      <c r="G35" s="536" t="s">
        <v>1217</v>
      </c>
      <c r="H35" s="542">
        <v>1.2500000000000001E-2</v>
      </c>
      <c r="I35" s="543">
        <v>0</v>
      </c>
      <c r="J35" s="543">
        <v>0</v>
      </c>
      <c r="K35" s="543">
        <v>0</v>
      </c>
      <c r="L35" s="543">
        <v>0</v>
      </c>
      <c r="M35" s="543">
        <v>0</v>
      </c>
      <c r="N35" s="543">
        <v>19581.27</v>
      </c>
      <c r="O35" s="543">
        <v>15841.61</v>
      </c>
      <c r="P35" s="543">
        <v>7001.95</v>
      </c>
      <c r="Q35" s="543">
        <v>0</v>
      </c>
      <c r="R35" s="543">
        <v>0</v>
      </c>
      <c r="S35" s="543">
        <v>921.69</v>
      </c>
      <c r="T35" s="543">
        <v>0</v>
      </c>
      <c r="U35" s="543">
        <v>0</v>
      </c>
      <c r="V35" s="543">
        <v>0</v>
      </c>
      <c r="W35" s="543">
        <v>0</v>
      </c>
      <c r="X35" s="533">
        <f t="shared" si="1"/>
        <v>43346.520000000004</v>
      </c>
      <c r="Y35" s="543">
        <v>0</v>
      </c>
      <c r="Z35" s="543">
        <v>0</v>
      </c>
      <c r="AA35" s="543">
        <v>0</v>
      </c>
      <c r="AB35" s="17"/>
      <c r="AC35" s="534">
        <f t="shared" si="2"/>
        <v>43346.520000000004</v>
      </c>
    </row>
    <row r="36" spans="1:29">
      <c r="A36" s="24">
        <v>19</v>
      </c>
      <c r="B36" s="544" t="s">
        <v>1233</v>
      </c>
      <c r="C36" s="544" t="s">
        <v>1234</v>
      </c>
      <c r="D36" s="545" t="s">
        <v>1235</v>
      </c>
      <c r="E36" s="546" t="s">
        <v>1236</v>
      </c>
      <c r="F36" s="545" t="s">
        <v>1237</v>
      </c>
      <c r="G36" s="547" t="s">
        <v>1217</v>
      </c>
      <c r="H36" s="548">
        <v>1.2500000000000001E-2</v>
      </c>
      <c r="I36" s="549">
        <v>936.32</v>
      </c>
      <c r="J36" s="549">
        <v>269.57</v>
      </c>
      <c r="K36" s="549">
        <v>16480.060000000001</v>
      </c>
      <c r="L36" s="549">
        <v>11692.24</v>
      </c>
      <c r="M36" s="549">
        <v>753238.6</v>
      </c>
      <c r="N36" s="549">
        <v>475027.76</v>
      </c>
      <c r="O36" s="549">
        <v>2852.36</v>
      </c>
      <c r="P36" s="549">
        <v>20.93</v>
      </c>
      <c r="Q36" s="549">
        <v>0</v>
      </c>
      <c r="R36" s="549">
        <v>0</v>
      </c>
      <c r="S36" s="549">
        <v>0</v>
      </c>
      <c r="T36" s="549">
        <v>-417.25</v>
      </c>
      <c r="U36" s="549">
        <v>0</v>
      </c>
      <c r="V36" s="549">
        <v>0</v>
      </c>
      <c r="W36" s="549">
        <v>0</v>
      </c>
      <c r="X36" s="533">
        <f t="shared" si="1"/>
        <v>1260100.5900000001</v>
      </c>
      <c r="Y36" s="549">
        <v>0</v>
      </c>
      <c r="Z36" s="549">
        <v>0</v>
      </c>
      <c r="AA36" s="549">
        <v>0</v>
      </c>
      <c r="AB36" s="17"/>
      <c r="AC36" s="540">
        <f t="shared" si="2"/>
        <v>1260100.5900000001</v>
      </c>
    </row>
    <row r="37" spans="1:29">
      <c r="A37" s="24">
        <v>20</v>
      </c>
      <c r="B37" s="550" t="s">
        <v>1238</v>
      </c>
      <c r="C37" s="550" t="s">
        <v>1239</v>
      </c>
      <c r="D37" s="528" t="s">
        <v>1240</v>
      </c>
      <c r="E37" s="539" t="s">
        <v>1241</v>
      </c>
      <c r="F37" s="528" t="s">
        <v>1242</v>
      </c>
      <c r="G37" s="525" t="s">
        <v>1217</v>
      </c>
      <c r="H37" s="551">
        <v>1.2500000000000001E-2</v>
      </c>
      <c r="I37" s="530">
        <v>0</v>
      </c>
      <c r="J37" s="530">
        <v>42746</v>
      </c>
      <c r="K37" s="530">
        <v>646272.68000000005</v>
      </c>
      <c r="L37" s="530">
        <v>646741.66</v>
      </c>
      <c r="M37" s="530">
        <v>389376.8</v>
      </c>
      <c r="N37" s="530">
        <v>96345.52</v>
      </c>
      <c r="O37" s="530">
        <v>7803.93</v>
      </c>
      <c r="P37" s="530">
        <v>112.47</v>
      </c>
      <c r="Q37" s="530">
        <v>62.62</v>
      </c>
      <c r="R37" s="530">
        <v>912.03</v>
      </c>
      <c r="S37" s="530">
        <v>300.18</v>
      </c>
      <c r="T37" s="530">
        <v>0</v>
      </c>
      <c r="U37" s="530">
        <v>0</v>
      </c>
      <c r="V37" s="530">
        <v>0</v>
      </c>
      <c r="W37" s="530">
        <v>0</v>
      </c>
      <c r="X37" s="533">
        <f t="shared" si="1"/>
        <v>1830673.8900000001</v>
      </c>
      <c r="Y37" s="530">
        <v>0</v>
      </c>
      <c r="Z37" s="530">
        <v>0</v>
      </c>
      <c r="AA37" s="530">
        <v>0</v>
      </c>
      <c r="AB37" s="17"/>
      <c r="AC37" s="540">
        <f t="shared" si="2"/>
        <v>1830673.8900000001</v>
      </c>
    </row>
    <row r="38" spans="1:29">
      <c r="A38" s="24">
        <v>21</v>
      </c>
      <c r="B38" s="544" t="s">
        <v>1243</v>
      </c>
      <c r="C38" s="544" t="s">
        <v>1244</v>
      </c>
      <c r="D38" s="545" t="s">
        <v>1245</v>
      </c>
      <c r="E38" s="546" t="s">
        <v>1246</v>
      </c>
      <c r="F38" s="545" t="s">
        <v>1222</v>
      </c>
      <c r="G38" s="547" t="s">
        <v>1217</v>
      </c>
      <c r="H38" s="548">
        <v>1.2500000000000001E-2</v>
      </c>
      <c r="I38" s="530">
        <v>0</v>
      </c>
      <c r="J38" s="530">
        <v>0</v>
      </c>
      <c r="K38" s="530">
        <v>0</v>
      </c>
      <c r="L38" s="530">
        <v>0</v>
      </c>
      <c r="M38" s="530">
        <v>32262.57</v>
      </c>
      <c r="N38" s="530">
        <v>0</v>
      </c>
      <c r="O38" s="530">
        <v>0</v>
      </c>
      <c r="P38" s="530">
        <v>0</v>
      </c>
      <c r="Q38" s="530">
        <v>0</v>
      </c>
      <c r="R38" s="530">
        <v>0</v>
      </c>
      <c r="S38" s="530">
        <v>0</v>
      </c>
      <c r="T38" s="530">
        <v>0</v>
      </c>
      <c r="U38" s="530">
        <v>0</v>
      </c>
      <c r="V38" s="530">
        <v>0</v>
      </c>
      <c r="W38" s="530">
        <v>0</v>
      </c>
      <c r="X38" s="533">
        <f t="shared" si="1"/>
        <v>32262.57</v>
      </c>
      <c r="Y38" s="530">
        <v>0</v>
      </c>
      <c r="Z38" s="530">
        <v>0</v>
      </c>
      <c r="AA38" s="530">
        <v>0</v>
      </c>
      <c r="AB38" s="17"/>
      <c r="AC38" s="540">
        <f t="shared" si="2"/>
        <v>32262.57</v>
      </c>
    </row>
    <row r="39" spans="1:29">
      <c r="A39" s="24">
        <v>22</v>
      </c>
      <c r="B39" s="550" t="s">
        <v>1247</v>
      </c>
      <c r="C39" s="550" t="s">
        <v>1248</v>
      </c>
      <c r="D39" s="528" t="s">
        <v>1249</v>
      </c>
      <c r="E39" s="539" t="s">
        <v>1250</v>
      </c>
      <c r="F39" s="528" t="s">
        <v>1242</v>
      </c>
      <c r="G39" s="525"/>
      <c r="H39" s="551">
        <v>2.1999999999999999E-2</v>
      </c>
      <c r="I39" s="530">
        <v>0</v>
      </c>
      <c r="J39" s="530">
        <v>0</v>
      </c>
      <c r="K39" s="530">
        <v>0</v>
      </c>
      <c r="L39" s="530">
        <v>3917.49</v>
      </c>
      <c r="M39" s="530">
        <v>14511.94</v>
      </c>
      <c r="N39" s="530">
        <v>61616.03</v>
      </c>
      <c r="O39" s="530">
        <v>503.21</v>
      </c>
      <c r="P39" s="530">
        <v>466.24</v>
      </c>
      <c r="Q39" s="530">
        <v>11529.23</v>
      </c>
      <c r="R39" s="530">
        <v>0</v>
      </c>
      <c r="S39" s="530">
        <v>0</v>
      </c>
      <c r="T39" s="530">
        <v>0</v>
      </c>
      <c r="U39" s="530">
        <v>0</v>
      </c>
      <c r="V39" s="530">
        <v>0</v>
      </c>
      <c r="W39" s="530">
        <v>0</v>
      </c>
      <c r="X39" s="533">
        <f t="shared" si="1"/>
        <v>92544.14</v>
      </c>
      <c r="Y39" s="530">
        <v>0</v>
      </c>
      <c r="Z39" s="530">
        <v>0</v>
      </c>
      <c r="AA39" s="530">
        <v>0</v>
      </c>
      <c r="AB39" s="17"/>
      <c r="AC39" s="540">
        <f t="shared" si="2"/>
        <v>92544.14</v>
      </c>
    </row>
    <row r="40" spans="1:29">
      <c r="A40" s="24">
        <v>23</v>
      </c>
      <c r="B40" s="550"/>
      <c r="C40" s="550" t="s">
        <v>1251</v>
      </c>
      <c r="D40" s="526" t="s">
        <v>1252</v>
      </c>
      <c r="E40" s="527"/>
      <c r="F40" s="528" t="s">
        <v>1253</v>
      </c>
      <c r="G40" s="525"/>
      <c r="H40" s="551"/>
      <c r="I40" s="530">
        <v>0</v>
      </c>
      <c r="J40" s="530">
        <v>0</v>
      </c>
      <c r="K40" s="530">
        <v>0</v>
      </c>
      <c r="L40" s="530">
        <v>0</v>
      </c>
      <c r="M40" s="530">
        <v>0</v>
      </c>
      <c r="N40" s="530">
        <v>0</v>
      </c>
      <c r="O40" s="530">
        <v>0</v>
      </c>
      <c r="P40" s="530">
        <v>0</v>
      </c>
      <c r="Q40" s="530">
        <v>0</v>
      </c>
      <c r="R40" s="530">
        <v>0</v>
      </c>
      <c r="S40" s="530">
        <v>0</v>
      </c>
      <c r="T40" s="530">
        <v>0</v>
      </c>
      <c r="U40" s="530">
        <v>0</v>
      </c>
      <c r="V40" s="530">
        <v>0</v>
      </c>
      <c r="W40" s="530">
        <v>0</v>
      </c>
      <c r="X40" s="533">
        <f t="shared" si="1"/>
        <v>0</v>
      </c>
      <c r="Y40" s="530">
        <v>0</v>
      </c>
      <c r="Z40" s="530">
        <v>0</v>
      </c>
      <c r="AA40" s="530">
        <v>0</v>
      </c>
      <c r="AB40" s="17"/>
      <c r="AC40" s="531"/>
    </row>
    <row r="41" spans="1:29">
      <c r="A41" s="24">
        <v>24</v>
      </c>
      <c r="B41" s="283" t="s">
        <v>1254</v>
      </c>
      <c r="C41" s="552" t="s">
        <v>1251</v>
      </c>
      <c r="D41" s="37" t="s">
        <v>1255</v>
      </c>
      <c r="E41" s="417" t="s">
        <v>1256</v>
      </c>
      <c r="F41" s="37" t="s">
        <v>1253</v>
      </c>
      <c r="G41" s="283" t="s">
        <v>1257</v>
      </c>
      <c r="H41" s="553"/>
      <c r="I41" s="533"/>
      <c r="J41" s="533"/>
      <c r="K41" s="533"/>
      <c r="L41" s="533">
        <v>0</v>
      </c>
      <c r="M41" s="533">
        <v>0</v>
      </c>
      <c r="N41" s="533">
        <v>0</v>
      </c>
      <c r="O41" s="533">
        <v>0</v>
      </c>
      <c r="P41" s="533">
        <v>0</v>
      </c>
      <c r="Q41" s="533">
        <v>0</v>
      </c>
      <c r="R41" s="533">
        <v>0</v>
      </c>
      <c r="S41" s="533">
        <v>0</v>
      </c>
      <c r="T41" s="533">
        <v>0</v>
      </c>
      <c r="U41" s="533">
        <v>0</v>
      </c>
      <c r="V41" s="533">
        <v>0</v>
      </c>
      <c r="W41" s="533">
        <v>0</v>
      </c>
      <c r="X41" s="533">
        <f t="shared" si="1"/>
        <v>0</v>
      </c>
      <c r="Y41" s="533">
        <v>0</v>
      </c>
      <c r="Z41" s="533">
        <v>0</v>
      </c>
      <c r="AA41" s="533">
        <v>0</v>
      </c>
      <c r="AB41" s="17"/>
      <c r="AC41" s="534">
        <f t="shared" ref="AC41:AC54" si="3">SUM(I41:AB41)-X41</f>
        <v>0</v>
      </c>
    </row>
    <row r="42" spans="1:29">
      <c r="A42" s="24">
        <v>25</v>
      </c>
      <c r="B42" s="552" t="s">
        <v>1258</v>
      </c>
      <c r="C42" s="552" t="s">
        <v>1251</v>
      </c>
      <c r="D42" s="37" t="s">
        <v>1259</v>
      </c>
      <c r="E42" s="417" t="s">
        <v>1260</v>
      </c>
      <c r="F42" s="37" t="s">
        <v>1253</v>
      </c>
      <c r="G42" s="283" t="s">
        <v>1257</v>
      </c>
      <c r="H42" s="553"/>
      <c r="I42" s="533"/>
      <c r="J42" s="533"/>
      <c r="K42" s="533"/>
      <c r="L42" s="533">
        <v>0</v>
      </c>
      <c r="M42" s="533">
        <v>0</v>
      </c>
      <c r="N42" s="533">
        <v>194.57</v>
      </c>
      <c r="O42" s="533">
        <v>0</v>
      </c>
      <c r="P42" s="533">
        <v>0</v>
      </c>
      <c r="Q42" s="533">
        <v>0</v>
      </c>
      <c r="R42" s="533">
        <v>0</v>
      </c>
      <c r="S42" s="533">
        <v>0</v>
      </c>
      <c r="T42" s="533">
        <v>0</v>
      </c>
      <c r="U42" s="533">
        <v>0</v>
      </c>
      <c r="V42" s="533">
        <v>0</v>
      </c>
      <c r="W42" s="533">
        <v>0</v>
      </c>
      <c r="X42" s="533">
        <f t="shared" si="1"/>
        <v>194.57</v>
      </c>
      <c r="Y42" s="533">
        <v>0</v>
      </c>
      <c r="Z42" s="533">
        <v>0</v>
      </c>
      <c r="AA42" s="533">
        <v>0</v>
      </c>
      <c r="AB42" s="17"/>
      <c r="AC42" s="534">
        <f t="shared" si="3"/>
        <v>194.57</v>
      </c>
    </row>
    <row r="43" spans="1:29">
      <c r="A43" s="24">
        <v>26</v>
      </c>
      <c r="B43" s="552"/>
      <c r="C43" s="552"/>
      <c r="D43" s="37" t="s">
        <v>1261</v>
      </c>
      <c r="E43" s="417"/>
      <c r="F43" s="37" t="s">
        <v>1253</v>
      </c>
      <c r="G43" s="283"/>
      <c r="H43" s="553"/>
      <c r="I43" s="533"/>
      <c r="J43" s="533"/>
      <c r="K43" s="533"/>
      <c r="L43" s="533">
        <v>0</v>
      </c>
      <c r="M43" s="533">
        <v>0</v>
      </c>
      <c r="N43" s="533">
        <v>0</v>
      </c>
      <c r="O43" s="533">
        <v>0</v>
      </c>
      <c r="P43" s="533">
        <v>0</v>
      </c>
      <c r="Q43" s="533">
        <v>0</v>
      </c>
      <c r="R43" s="533">
        <v>0</v>
      </c>
      <c r="S43" s="533">
        <v>0</v>
      </c>
      <c r="T43" s="533">
        <v>0</v>
      </c>
      <c r="U43" s="533">
        <v>0</v>
      </c>
      <c r="V43" s="533">
        <v>0</v>
      </c>
      <c r="W43" s="533">
        <v>0</v>
      </c>
      <c r="X43" s="533">
        <f t="shared" si="1"/>
        <v>0</v>
      </c>
      <c r="Y43" s="533">
        <v>0</v>
      </c>
      <c r="Z43" s="533">
        <v>0</v>
      </c>
      <c r="AA43" s="533">
        <v>0</v>
      </c>
      <c r="AB43" s="17"/>
      <c r="AC43" s="534">
        <f t="shared" si="3"/>
        <v>0</v>
      </c>
    </row>
    <row r="44" spans="1:29">
      <c r="A44" s="24">
        <v>27</v>
      </c>
      <c r="B44" s="552" t="s">
        <v>1262</v>
      </c>
      <c r="C44" s="552" t="s">
        <v>1251</v>
      </c>
      <c r="D44" s="541" t="s">
        <v>1263</v>
      </c>
      <c r="E44" s="417" t="s">
        <v>1264</v>
      </c>
      <c r="F44" s="37" t="s">
        <v>1253</v>
      </c>
      <c r="G44" s="283" t="s">
        <v>1257</v>
      </c>
      <c r="H44" s="553"/>
      <c r="I44" s="533"/>
      <c r="J44" s="533"/>
      <c r="K44" s="533"/>
      <c r="L44" s="533">
        <v>371622.84</v>
      </c>
      <c r="M44" s="533">
        <v>246610.39</v>
      </c>
      <c r="N44" s="533">
        <v>351686</v>
      </c>
      <c r="O44" s="533">
        <v>29234.19</v>
      </c>
      <c r="P44" s="533">
        <v>-55401.67</v>
      </c>
      <c r="Q44" s="533">
        <v>541161.93999999994</v>
      </c>
      <c r="R44" s="533">
        <v>2472.11</v>
      </c>
      <c r="S44" s="533">
        <v>288929.71999999997</v>
      </c>
      <c r="T44" s="533">
        <v>24466.59</v>
      </c>
      <c r="U44" s="533">
        <v>343</v>
      </c>
      <c r="V44" s="533">
        <v>0</v>
      </c>
      <c r="W44" s="533">
        <v>0</v>
      </c>
      <c r="X44" s="533">
        <f t="shared" si="1"/>
        <v>1801125.11</v>
      </c>
      <c r="Y44" s="533">
        <v>0</v>
      </c>
      <c r="Z44" s="533">
        <v>0</v>
      </c>
      <c r="AA44" s="533">
        <v>0</v>
      </c>
      <c r="AB44" s="17"/>
      <c r="AC44" s="534">
        <f t="shared" si="3"/>
        <v>1801125.11</v>
      </c>
    </row>
    <row r="45" spans="1:29">
      <c r="A45" s="24">
        <v>28</v>
      </c>
      <c r="B45" s="552" t="s">
        <v>1265</v>
      </c>
      <c r="C45" s="552" t="s">
        <v>1251</v>
      </c>
      <c r="D45" s="541" t="s">
        <v>1266</v>
      </c>
      <c r="E45" s="417" t="s">
        <v>1267</v>
      </c>
      <c r="F45" s="37" t="s">
        <v>1253</v>
      </c>
      <c r="G45" s="283" t="s">
        <v>1257</v>
      </c>
      <c r="H45" s="553"/>
      <c r="I45" s="533"/>
      <c r="J45" s="533"/>
      <c r="K45" s="533"/>
      <c r="L45" s="533">
        <v>0</v>
      </c>
      <c r="M45" s="533">
        <v>0</v>
      </c>
      <c r="N45" s="533">
        <v>0</v>
      </c>
      <c r="O45" s="533">
        <v>0</v>
      </c>
      <c r="P45" s="533">
        <v>0</v>
      </c>
      <c r="Q45" s="533">
        <v>0</v>
      </c>
      <c r="R45" s="533">
        <v>0</v>
      </c>
      <c r="S45" s="533">
        <v>17270.02</v>
      </c>
      <c r="T45" s="533">
        <v>461824.13</v>
      </c>
      <c r="U45" s="533">
        <v>58403.35</v>
      </c>
      <c r="V45" s="533">
        <v>244032.88</v>
      </c>
      <c r="W45" s="533">
        <v>179.58</v>
      </c>
      <c r="X45" s="533">
        <f t="shared" si="1"/>
        <v>781709.96</v>
      </c>
      <c r="Y45" s="533">
        <v>4494.07</v>
      </c>
      <c r="Z45" s="533">
        <v>4656.17</v>
      </c>
      <c r="AA45" s="533">
        <v>0</v>
      </c>
      <c r="AB45" s="17"/>
      <c r="AC45" s="534">
        <f t="shared" si="3"/>
        <v>790860.2</v>
      </c>
    </row>
    <row r="46" spans="1:29">
      <c r="A46" s="24">
        <v>29</v>
      </c>
      <c r="B46" s="552" t="s">
        <v>1268</v>
      </c>
      <c r="C46" s="552" t="s">
        <v>1251</v>
      </c>
      <c r="D46" s="541" t="s">
        <v>1269</v>
      </c>
      <c r="E46" s="417" t="s">
        <v>1270</v>
      </c>
      <c r="F46" s="37" t="s">
        <v>1253</v>
      </c>
      <c r="G46" s="283" t="s">
        <v>1257</v>
      </c>
      <c r="H46" s="553"/>
      <c r="I46" s="533"/>
      <c r="J46" s="533"/>
      <c r="K46" s="533"/>
      <c r="L46" s="533">
        <v>88470.05</v>
      </c>
      <c r="M46" s="533">
        <v>40560.379999999997</v>
      </c>
      <c r="N46" s="533">
        <v>499.53</v>
      </c>
      <c r="O46" s="533">
        <v>63.06</v>
      </c>
      <c r="P46" s="533">
        <v>2087.1799999999998</v>
      </c>
      <c r="Q46" s="533">
        <v>31042.17</v>
      </c>
      <c r="R46" s="533">
        <v>2330.23</v>
      </c>
      <c r="S46" s="533">
        <v>-59787.75</v>
      </c>
      <c r="T46" s="533">
        <v>0</v>
      </c>
      <c r="U46" s="533">
        <v>544.46</v>
      </c>
      <c r="V46" s="533">
        <v>0</v>
      </c>
      <c r="W46" s="533">
        <v>0</v>
      </c>
      <c r="X46" s="533">
        <f t="shared" si="1"/>
        <v>105809.31000000001</v>
      </c>
      <c r="Y46" s="533">
        <v>0</v>
      </c>
      <c r="Z46" s="533">
        <v>0</v>
      </c>
      <c r="AA46" s="533">
        <v>0</v>
      </c>
      <c r="AB46" s="17"/>
      <c r="AC46" s="534">
        <f t="shared" si="3"/>
        <v>105809.31000000001</v>
      </c>
    </row>
    <row r="47" spans="1:29">
      <c r="A47" s="24">
        <v>30</v>
      </c>
      <c r="B47" s="552" t="s">
        <v>1271</v>
      </c>
      <c r="C47" s="552" t="s">
        <v>1251</v>
      </c>
      <c r="D47" s="541" t="s">
        <v>1272</v>
      </c>
      <c r="E47" s="417" t="s">
        <v>1273</v>
      </c>
      <c r="F47" s="37" t="s">
        <v>1253</v>
      </c>
      <c r="G47" s="283" t="s">
        <v>1257</v>
      </c>
      <c r="H47" s="553"/>
      <c r="I47" s="533"/>
      <c r="J47" s="533"/>
      <c r="K47" s="533"/>
      <c r="L47" s="533">
        <v>1023.95</v>
      </c>
      <c r="M47" s="533">
        <v>8647.7000000000007</v>
      </c>
      <c r="N47" s="533">
        <v>939.63</v>
      </c>
      <c r="O47" s="533">
        <v>5016.34</v>
      </c>
      <c r="P47" s="533">
        <v>171.58</v>
      </c>
      <c r="Q47" s="533">
        <v>7496.11</v>
      </c>
      <c r="R47" s="533">
        <v>112.23</v>
      </c>
      <c r="S47" s="533">
        <v>0</v>
      </c>
      <c r="T47" s="533">
        <v>0</v>
      </c>
      <c r="U47" s="533">
        <v>0</v>
      </c>
      <c r="V47" s="533">
        <v>0</v>
      </c>
      <c r="W47" s="533">
        <v>0</v>
      </c>
      <c r="X47" s="533">
        <f t="shared" si="1"/>
        <v>23407.54</v>
      </c>
      <c r="Y47" s="533">
        <v>0</v>
      </c>
      <c r="Z47" s="533">
        <v>0</v>
      </c>
      <c r="AA47" s="533">
        <v>0</v>
      </c>
      <c r="AB47" s="17"/>
      <c r="AC47" s="534">
        <f t="shared" si="3"/>
        <v>23407.54</v>
      </c>
    </row>
    <row r="48" spans="1:29">
      <c r="A48" s="24">
        <v>31</v>
      </c>
      <c r="B48" s="552" t="s">
        <v>1274</v>
      </c>
      <c r="C48" s="552" t="s">
        <v>1251</v>
      </c>
      <c r="D48" s="541" t="s">
        <v>1263</v>
      </c>
      <c r="E48" s="417" t="s">
        <v>1275</v>
      </c>
      <c r="F48" s="37" t="s">
        <v>1253</v>
      </c>
      <c r="G48" s="283" t="s">
        <v>1257</v>
      </c>
      <c r="H48" s="553"/>
      <c r="I48" s="533"/>
      <c r="J48" s="533"/>
      <c r="K48" s="533"/>
      <c r="L48" s="533">
        <v>0</v>
      </c>
      <c r="M48" s="533">
        <v>0</v>
      </c>
      <c r="N48" s="533">
        <v>0</v>
      </c>
      <c r="O48" s="533">
        <v>0</v>
      </c>
      <c r="P48" s="533">
        <v>0</v>
      </c>
      <c r="Q48" s="533">
        <v>2962.67</v>
      </c>
      <c r="R48" s="533">
        <v>9.35</v>
      </c>
      <c r="S48" s="533">
        <v>2525.69</v>
      </c>
      <c r="T48" s="533">
        <v>8728.11</v>
      </c>
      <c r="U48" s="533">
        <v>75935.210000000006</v>
      </c>
      <c r="V48" s="533">
        <v>15718.82</v>
      </c>
      <c r="W48" s="533">
        <v>529749.19999999995</v>
      </c>
      <c r="X48" s="533">
        <f t="shared" si="1"/>
        <v>635629.04999999993</v>
      </c>
      <c r="Y48" s="533">
        <v>381778.59</v>
      </c>
      <c r="Z48" s="533">
        <v>110441.86</v>
      </c>
      <c r="AA48" s="533">
        <v>7167.46</v>
      </c>
      <c r="AB48" s="17"/>
      <c r="AC48" s="534">
        <f t="shared" si="3"/>
        <v>1135016.96</v>
      </c>
    </row>
    <row r="49" spans="1:29">
      <c r="A49" s="24">
        <v>32</v>
      </c>
      <c r="B49" s="552" t="s">
        <v>1276</v>
      </c>
      <c r="C49" s="552" t="s">
        <v>1251</v>
      </c>
      <c r="D49" s="541" t="s">
        <v>1266</v>
      </c>
      <c r="E49" s="417" t="s">
        <v>1277</v>
      </c>
      <c r="F49" s="37" t="s">
        <v>1253</v>
      </c>
      <c r="G49" s="283" t="s">
        <v>1257</v>
      </c>
      <c r="H49" s="553"/>
      <c r="I49" s="533"/>
      <c r="J49" s="533"/>
      <c r="K49" s="533"/>
      <c r="L49" s="533">
        <v>0</v>
      </c>
      <c r="M49" s="533">
        <v>0</v>
      </c>
      <c r="N49" s="533">
        <v>0</v>
      </c>
      <c r="O49" s="533">
        <v>0</v>
      </c>
      <c r="P49" s="533">
        <v>0</v>
      </c>
      <c r="Q49" s="533">
        <v>0</v>
      </c>
      <c r="R49" s="533">
        <v>0</v>
      </c>
      <c r="S49" s="533">
        <v>0</v>
      </c>
      <c r="T49" s="533">
        <v>0</v>
      </c>
      <c r="U49" s="533">
        <v>35.909999999999997</v>
      </c>
      <c r="V49" s="533">
        <v>0.19</v>
      </c>
      <c r="W49" s="533">
        <v>0.28000000000000003</v>
      </c>
      <c r="X49" s="533">
        <f t="shared" si="1"/>
        <v>36.379999999999995</v>
      </c>
      <c r="Y49" s="533">
        <v>256635.69</v>
      </c>
      <c r="Z49" s="533">
        <v>131442.23000000001</v>
      </c>
      <c r="AA49" s="533">
        <v>23357.8</v>
      </c>
      <c r="AB49" s="17"/>
      <c r="AC49" s="534">
        <f t="shared" si="3"/>
        <v>411472.10000000003</v>
      </c>
    </row>
    <row r="50" spans="1:29">
      <c r="A50" s="24">
        <v>33</v>
      </c>
      <c r="B50" s="552" t="s">
        <v>1278</v>
      </c>
      <c r="C50" s="552" t="s">
        <v>1251</v>
      </c>
      <c r="D50" s="541" t="s">
        <v>1269</v>
      </c>
      <c r="E50" s="417" t="s">
        <v>1279</v>
      </c>
      <c r="F50" s="37" t="s">
        <v>1253</v>
      </c>
      <c r="G50" s="283" t="s">
        <v>1257</v>
      </c>
      <c r="H50" s="553"/>
      <c r="I50" s="533"/>
      <c r="J50" s="533"/>
      <c r="K50" s="533"/>
      <c r="L50" s="533">
        <v>0</v>
      </c>
      <c r="M50" s="533">
        <v>0</v>
      </c>
      <c r="N50" s="533">
        <v>0</v>
      </c>
      <c r="O50" s="533">
        <v>0</v>
      </c>
      <c r="P50" s="533">
        <v>0</v>
      </c>
      <c r="Q50" s="533">
        <v>0</v>
      </c>
      <c r="R50" s="533">
        <v>0</v>
      </c>
      <c r="S50" s="533">
        <v>0</v>
      </c>
      <c r="T50" s="533">
        <v>0</v>
      </c>
      <c r="U50" s="533">
        <v>915.2</v>
      </c>
      <c r="V50" s="533">
        <v>4.8</v>
      </c>
      <c r="W50" s="533">
        <v>75831.44</v>
      </c>
      <c r="X50" s="533">
        <f t="shared" si="1"/>
        <v>76751.44</v>
      </c>
      <c r="Y50" s="533">
        <v>528141.15</v>
      </c>
      <c r="Z50" s="533">
        <v>38419.31</v>
      </c>
      <c r="AA50" s="533">
        <v>8714.77</v>
      </c>
      <c r="AB50" s="17"/>
      <c r="AC50" s="534">
        <f t="shared" si="3"/>
        <v>652026.67000000016</v>
      </c>
    </row>
    <row r="51" spans="1:29">
      <c r="A51" s="24">
        <v>34</v>
      </c>
      <c r="B51" s="552" t="s">
        <v>1280</v>
      </c>
      <c r="C51" s="552" t="s">
        <v>1251</v>
      </c>
      <c r="D51" s="541" t="s">
        <v>1272</v>
      </c>
      <c r="E51" s="417" t="s">
        <v>1279</v>
      </c>
      <c r="F51" s="37" t="s">
        <v>1253</v>
      </c>
      <c r="G51" s="283" t="s">
        <v>1257</v>
      </c>
      <c r="H51" s="553"/>
      <c r="I51" s="533"/>
      <c r="J51" s="533"/>
      <c r="K51" s="533"/>
      <c r="L51" s="533">
        <v>0</v>
      </c>
      <c r="M51" s="533">
        <v>0</v>
      </c>
      <c r="N51" s="533">
        <v>0</v>
      </c>
      <c r="O51" s="533">
        <v>0</v>
      </c>
      <c r="P51" s="533">
        <v>0</v>
      </c>
      <c r="Q51" s="533">
        <v>0</v>
      </c>
      <c r="R51" s="533">
        <v>0</v>
      </c>
      <c r="S51" s="533">
        <v>0</v>
      </c>
      <c r="T51" s="533">
        <v>0</v>
      </c>
      <c r="U51" s="533">
        <v>509.38</v>
      </c>
      <c r="V51" s="533">
        <v>969.02</v>
      </c>
      <c r="W51" s="533">
        <v>122182.59</v>
      </c>
      <c r="X51" s="533">
        <f t="shared" si="1"/>
        <v>123660.98999999999</v>
      </c>
      <c r="Y51" s="533">
        <v>170420.55</v>
      </c>
      <c r="Z51" s="533">
        <v>64640.17</v>
      </c>
      <c r="AA51" s="533">
        <v>3653.56</v>
      </c>
      <c r="AB51" s="17"/>
      <c r="AC51" s="534">
        <f t="shared" si="3"/>
        <v>362375.26999999996</v>
      </c>
    </row>
    <row r="52" spans="1:29">
      <c r="A52" s="24">
        <v>35</v>
      </c>
      <c r="B52" s="550" t="s">
        <v>1281</v>
      </c>
      <c r="C52" s="550" t="s">
        <v>1282</v>
      </c>
      <c r="D52" s="528" t="s">
        <v>1283</v>
      </c>
      <c r="E52" s="539" t="s">
        <v>1284</v>
      </c>
      <c r="F52" s="528" t="s">
        <v>1253</v>
      </c>
      <c r="G52" s="525" t="s">
        <v>1226</v>
      </c>
      <c r="H52" s="551">
        <v>1.8200000000000001E-2</v>
      </c>
      <c r="I52" s="530">
        <v>0</v>
      </c>
      <c r="J52" s="530">
        <v>0</v>
      </c>
      <c r="K52" s="530">
        <v>0</v>
      </c>
      <c r="L52" s="530">
        <v>32.72</v>
      </c>
      <c r="M52" s="530">
        <v>0.18</v>
      </c>
      <c r="N52" s="530">
        <v>325875.51</v>
      </c>
      <c r="O52" s="530">
        <v>-172058.38</v>
      </c>
      <c r="P52" s="530">
        <v>19451.61</v>
      </c>
      <c r="Q52" s="530">
        <v>0</v>
      </c>
      <c r="R52" s="530">
        <v>0</v>
      </c>
      <c r="S52" s="530">
        <v>0</v>
      </c>
      <c r="T52" s="530">
        <v>0</v>
      </c>
      <c r="U52" s="530">
        <v>0</v>
      </c>
      <c r="V52" s="530">
        <v>0</v>
      </c>
      <c r="W52" s="530">
        <v>0</v>
      </c>
      <c r="X52" s="533">
        <f t="shared" si="1"/>
        <v>173301.64</v>
      </c>
      <c r="Y52" s="530">
        <v>0</v>
      </c>
      <c r="Z52" s="530">
        <v>0</v>
      </c>
      <c r="AA52" s="530">
        <v>0</v>
      </c>
      <c r="AB52" s="17"/>
      <c r="AC52" s="540">
        <f t="shared" si="3"/>
        <v>173301.64</v>
      </c>
    </row>
    <row r="53" spans="1:29">
      <c r="A53" s="24">
        <v>36</v>
      </c>
      <c r="B53" s="550" t="s">
        <v>1285</v>
      </c>
      <c r="C53" s="550" t="s">
        <v>1286</v>
      </c>
      <c r="D53" s="528" t="s">
        <v>1287</v>
      </c>
      <c r="E53" s="539" t="s">
        <v>1213</v>
      </c>
      <c r="F53" s="528" t="s">
        <v>1253</v>
      </c>
      <c r="G53" s="525" t="s">
        <v>1226</v>
      </c>
      <c r="H53" s="551">
        <v>1.8200000000000001E-2</v>
      </c>
      <c r="I53" s="530">
        <v>539.79</v>
      </c>
      <c r="J53" s="530">
        <v>199.99</v>
      </c>
      <c r="K53" s="530">
        <v>193.6</v>
      </c>
      <c r="L53" s="530">
        <v>223.26</v>
      </c>
      <c r="M53" s="530">
        <v>189.63</v>
      </c>
      <c r="N53" s="530">
        <v>869.97</v>
      </c>
      <c r="O53" s="530">
        <v>185.13</v>
      </c>
      <c r="P53" s="530">
        <v>6302.55</v>
      </c>
      <c r="Q53" s="530">
        <v>11256.46</v>
      </c>
      <c r="R53" s="530">
        <v>4007.87</v>
      </c>
      <c r="S53" s="530">
        <v>406.81</v>
      </c>
      <c r="T53" s="530">
        <v>275.04000000000002</v>
      </c>
      <c r="U53" s="530">
        <v>1235.31</v>
      </c>
      <c r="V53" s="530">
        <v>1200.93</v>
      </c>
      <c r="W53" s="530">
        <v>459.48</v>
      </c>
      <c r="X53" s="533">
        <f t="shared" si="1"/>
        <v>27545.82</v>
      </c>
      <c r="Y53" s="530">
        <v>14974.03</v>
      </c>
      <c r="Z53" s="530">
        <v>818.31</v>
      </c>
      <c r="AA53" s="530">
        <v>3641.05</v>
      </c>
      <c r="AB53" s="17"/>
      <c r="AC53" s="540">
        <f t="shared" si="3"/>
        <v>46979.21</v>
      </c>
    </row>
    <row r="54" spans="1:29">
      <c r="A54" s="24">
        <v>37</v>
      </c>
      <c r="B54" s="550" t="s">
        <v>1288</v>
      </c>
      <c r="C54" s="550" t="s">
        <v>1289</v>
      </c>
      <c r="D54" s="528" t="s">
        <v>1290</v>
      </c>
      <c r="E54" s="539" t="s">
        <v>1291</v>
      </c>
      <c r="F54" s="528" t="s">
        <v>1292</v>
      </c>
      <c r="G54" s="525" t="s">
        <v>1217</v>
      </c>
      <c r="H54" s="551">
        <v>1.2500000000000001E-2</v>
      </c>
      <c r="I54" s="530">
        <v>0</v>
      </c>
      <c r="J54" s="530"/>
      <c r="K54" s="530"/>
      <c r="L54" s="530">
        <v>3398.4</v>
      </c>
      <c r="M54" s="530">
        <v>1108.17</v>
      </c>
      <c r="N54" s="530">
        <v>-242.74</v>
      </c>
      <c r="O54" s="530">
        <v>0</v>
      </c>
      <c r="P54" s="530">
        <v>0</v>
      </c>
      <c r="Q54" s="530">
        <v>0</v>
      </c>
      <c r="R54" s="530">
        <v>0</v>
      </c>
      <c r="S54" s="530">
        <v>0</v>
      </c>
      <c r="T54" s="530">
        <v>0</v>
      </c>
      <c r="U54" s="530">
        <v>0</v>
      </c>
      <c r="V54" s="530">
        <v>0</v>
      </c>
      <c r="W54" s="530">
        <v>0</v>
      </c>
      <c r="X54" s="533">
        <f t="shared" si="1"/>
        <v>4263.83</v>
      </c>
      <c r="Y54" s="530">
        <v>0</v>
      </c>
      <c r="Z54" s="530">
        <v>0</v>
      </c>
      <c r="AA54" s="530">
        <v>0</v>
      </c>
      <c r="AB54" s="17"/>
      <c r="AC54" s="540">
        <f t="shared" si="3"/>
        <v>4263.83</v>
      </c>
    </row>
    <row r="55" spans="1:29">
      <c r="A55" s="24">
        <v>38</v>
      </c>
      <c r="B55" s="550"/>
      <c r="C55" s="550" t="s">
        <v>1293</v>
      </c>
      <c r="D55" s="526" t="s">
        <v>1294</v>
      </c>
      <c r="E55" s="527"/>
      <c r="F55" s="528"/>
      <c r="G55" s="525"/>
      <c r="H55" s="551"/>
      <c r="I55" s="530">
        <v>0</v>
      </c>
      <c r="J55" s="530">
        <v>0</v>
      </c>
      <c r="K55" s="530">
        <v>0</v>
      </c>
      <c r="L55" s="530">
        <v>0</v>
      </c>
      <c r="M55" s="530">
        <v>0</v>
      </c>
      <c r="N55" s="530">
        <v>0</v>
      </c>
      <c r="O55" s="530">
        <v>0</v>
      </c>
      <c r="P55" s="530">
        <v>0</v>
      </c>
      <c r="Q55" s="530">
        <v>0</v>
      </c>
      <c r="R55" s="530">
        <v>0</v>
      </c>
      <c r="S55" s="530">
        <v>0</v>
      </c>
      <c r="T55" s="530">
        <v>0</v>
      </c>
      <c r="U55" s="530">
        <v>0</v>
      </c>
      <c r="V55" s="530">
        <v>0</v>
      </c>
      <c r="W55" s="530">
        <v>0</v>
      </c>
      <c r="X55" s="533">
        <f t="shared" si="1"/>
        <v>0</v>
      </c>
      <c r="Y55" s="530">
        <v>0</v>
      </c>
      <c r="Z55" s="530">
        <v>0</v>
      </c>
      <c r="AA55" s="530">
        <v>0</v>
      </c>
      <c r="AB55" s="17"/>
      <c r="AC55" s="531"/>
    </row>
    <row r="56" spans="1:29">
      <c r="A56" s="24">
        <v>39</v>
      </c>
      <c r="B56" s="552" t="s">
        <v>1295</v>
      </c>
      <c r="C56" s="552" t="s">
        <v>1293</v>
      </c>
      <c r="D56" s="37" t="s">
        <v>1294</v>
      </c>
      <c r="E56" s="417" t="s">
        <v>1296</v>
      </c>
      <c r="F56" s="37" t="s">
        <v>1297</v>
      </c>
      <c r="G56" s="283" t="s">
        <v>1217</v>
      </c>
      <c r="H56" s="553">
        <v>1.2500000000000001E-2</v>
      </c>
      <c r="I56" s="533">
        <v>66.92</v>
      </c>
      <c r="J56" s="533">
        <v>71.430000000000007</v>
      </c>
      <c r="K56" s="533">
        <v>69.11</v>
      </c>
      <c r="L56" s="533">
        <v>68.03</v>
      </c>
      <c r="M56" s="533">
        <v>67.66</v>
      </c>
      <c r="N56" s="533">
        <v>74.25</v>
      </c>
      <c r="O56" s="533">
        <v>64.81</v>
      </c>
      <c r="P56" s="533">
        <v>39341.33</v>
      </c>
      <c r="Q56" s="533">
        <v>129811.98</v>
      </c>
      <c r="R56" s="533">
        <v>17072.509999999998</v>
      </c>
      <c r="S56" s="533">
        <v>41156.53</v>
      </c>
      <c r="T56" s="533">
        <v>1685393.66</v>
      </c>
      <c r="U56" s="533">
        <v>127739.12</v>
      </c>
      <c r="V56" s="533">
        <v>7210.71</v>
      </c>
      <c r="W56" s="533">
        <v>162.74</v>
      </c>
      <c r="X56" s="533">
        <f t="shared" si="1"/>
        <v>2048370.7899999998</v>
      </c>
      <c r="Y56" s="533">
        <v>0</v>
      </c>
      <c r="Z56" s="533">
        <v>0</v>
      </c>
      <c r="AA56" s="533">
        <v>0</v>
      </c>
      <c r="AB56" s="17"/>
      <c r="AC56" s="534">
        <f>SUM(I56:AB56)-X56</f>
        <v>2048370.7899999998</v>
      </c>
    </row>
    <row r="57" spans="1:29">
      <c r="A57" s="24">
        <v>40</v>
      </c>
      <c r="B57" s="552" t="s">
        <v>1298</v>
      </c>
      <c r="C57" s="554" t="s">
        <v>1293</v>
      </c>
      <c r="D57" s="537" t="s">
        <v>1294</v>
      </c>
      <c r="E57" s="417" t="s">
        <v>1213</v>
      </c>
      <c r="F57" s="537" t="s">
        <v>1297</v>
      </c>
      <c r="G57" s="536" t="s">
        <v>1217</v>
      </c>
      <c r="H57" s="555">
        <v>1.2500000000000001E-2</v>
      </c>
      <c r="I57" s="533">
        <v>0</v>
      </c>
      <c r="J57" s="533">
        <v>0</v>
      </c>
      <c r="K57" s="533">
        <v>5863.38</v>
      </c>
      <c r="L57" s="533">
        <v>0</v>
      </c>
      <c r="M57" s="533">
        <v>0</v>
      </c>
      <c r="N57" s="533">
        <v>0</v>
      </c>
      <c r="O57" s="533">
        <v>0</v>
      </c>
      <c r="P57" s="533">
        <v>0</v>
      </c>
      <c r="Q57" s="533">
        <v>0</v>
      </c>
      <c r="R57" s="533">
        <v>0</v>
      </c>
      <c r="S57" s="533">
        <v>0</v>
      </c>
      <c r="T57" s="533">
        <v>0</v>
      </c>
      <c r="U57" s="533">
        <v>0</v>
      </c>
      <c r="V57" s="533">
        <v>0</v>
      </c>
      <c r="W57" s="533">
        <v>0</v>
      </c>
      <c r="X57" s="533">
        <f t="shared" si="1"/>
        <v>5863.38</v>
      </c>
      <c r="Y57" s="533">
        <v>0</v>
      </c>
      <c r="Z57" s="533">
        <v>0</v>
      </c>
      <c r="AA57" s="533">
        <v>0</v>
      </c>
      <c r="AB57" s="17"/>
      <c r="AC57" s="534">
        <f>SUM(I57:AB57)-X57</f>
        <v>5863.38</v>
      </c>
    </row>
    <row r="58" spans="1:29">
      <c r="A58" s="24">
        <v>41</v>
      </c>
      <c r="B58" s="550"/>
      <c r="C58" s="550" t="s">
        <v>1299</v>
      </c>
      <c r="D58" s="526" t="s">
        <v>1300</v>
      </c>
      <c r="E58" s="527"/>
      <c r="F58" s="528"/>
      <c r="G58" s="525"/>
      <c r="H58" s="551"/>
      <c r="I58" s="530">
        <v>0</v>
      </c>
      <c r="J58" s="530">
        <v>0</v>
      </c>
      <c r="K58" s="530">
        <v>0</v>
      </c>
      <c r="L58" s="530">
        <v>0</v>
      </c>
      <c r="M58" s="530">
        <v>0</v>
      </c>
      <c r="N58" s="530">
        <v>0</v>
      </c>
      <c r="O58" s="530">
        <v>0</v>
      </c>
      <c r="P58" s="530">
        <v>0</v>
      </c>
      <c r="Q58" s="530">
        <v>0</v>
      </c>
      <c r="R58" s="530">
        <v>0</v>
      </c>
      <c r="S58" s="530">
        <v>0</v>
      </c>
      <c r="T58" s="530">
        <v>0</v>
      </c>
      <c r="U58" s="530">
        <v>0</v>
      </c>
      <c r="V58" s="530">
        <v>0</v>
      </c>
      <c r="W58" s="530">
        <v>0</v>
      </c>
      <c r="X58" s="533">
        <f t="shared" si="1"/>
        <v>0</v>
      </c>
      <c r="Y58" s="530">
        <v>0</v>
      </c>
      <c r="Z58" s="530">
        <v>0</v>
      </c>
      <c r="AA58" s="530">
        <v>0</v>
      </c>
      <c r="AB58" s="17"/>
      <c r="AC58" s="531"/>
    </row>
    <row r="59" spans="1:29">
      <c r="A59" s="24">
        <v>42</v>
      </c>
      <c r="B59" s="552" t="s">
        <v>1301</v>
      </c>
      <c r="C59" s="552" t="s">
        <v>1299</v>
      </c>
      <c r="D59" s="37" t="s">
        <v>1300</v>
      </c>
      <c r="E59" s="417" t="s">
        <v>1302</v>
      </c>
      <c r="F59" s="37" t="s">
        <v>1297</v>
      </c>
      <c r="G59" s="283" t="s">
        <v>1226</v>
      </c>
      <c r="H59" s="553">
        <v>1.8200000000000001E-2</v>
      </c>
      <c r="I59" s="533"/>
      <c r="J59" s="533"/>
      <c r="K59" s="533"/>
      <c r="L59" s="533">
        <v>468670.37</v>
      </c>
      <c r="M59" s="533">
        <v>187096.71</v>
      </c>
      <c r="N59" s="533">
        <v>12381.81</v>
      </c>
      <c r="O59" s="533">
        <v>0</v>
      </c>
      <c r="P59" s="533">
        <v>269.22000000000003</v>
      </c>
      <c r="Q59" s="533">
        <v>32822.75</v>
      </c>
      <c r="R59" s="533">
        <v>204.53</v>
      </c>
      <c r="S59" s="533">
        <v>2895.95</v>
      </c>
      <c r="T59" s="533">
        <v>0</v>
      </c>
      <c r="U59" s="533">
        <v>0</v>
      </c>
      <c r="V59" s="533">
        <v>0</v>
      </c>
      <c r="W59" s="533">
        <v>0</v>
      </c>
      <c r="X59" s="533">
        <f t="shared" si="1"/>
        <v>704341.34</v>
      </c>
      <c r="Y59" s="533">
        <v>0</v>
      </c>
      <c r="Z59" s="533">
        <v>0</v>
      </c>
      <c r="AA59" s="533">
        <v>0</v>
      </c>
      <c r="AB59" s="17"/>
      <c r="AC59" s="534">
        <f>SUM(I59:AB59)-X59</f>
        <v>704341.34</v>
      </c>
    </row>
    <row r="60" spans="1:29">
      <c r="A60" s="24">
        <v>43</v>
      </c>
      <c r="B60" s="552" t="s">
        <v>1303</v>
      </c>
      <c r="C60" s="554" t="s">
        <v>1299</v>
      </c>
      <c r="D60" s="537" t="s">
        <v>1300</v>
      </c>
      <c r="E60" s="417" t="s">
        <v>1304</v>
      </c>
      <c r="F60" s="537" t="s">
        <v>1297</v>
      </c>
      <c r="G60" s="536" t="s">
        <v>1226</v>
      </c>
      <c r="H60" s="555">
        <v>1.8200000000000001E-2</v>
      </c>
      <c r="I60" s="533">
        <v>0</v>
      </c>
      <c r="J60" s="533">
        <v>0</v>
      </c>
      <c r="K60" s="533">
        <v>0</v>
      </c>
      <c r="L60" s="533">
        <v>0</v>
      </c>
      <c r="M60" s="533">
        <v>0</v>
      </c>
      <c r="N60" s="533">
        <v>8013.21</v>
      </c>
      <c r="O60" s="533">
        <v>127932.66</v>
      </c>
      <c r="P60" s="533">
        <v>12763.48</v>
      </c>
      <c r="Q60" s="533">
        <v>15168.48</v>
      </c>
      <c r="R60" s="533">
        <v>51271.85</v>
      </c>
      <c r="S60" s="533">
        <v>125594.34</v>
      </c>
      <c r="T60" s="533">
        <v>409365.38</v>
      </c>
      <c r="U60" s="533">
        <v>239947.11</v>
      </c>
      <c r="V60" s="533">
        <v>272308.28999999998</v>
      </c>
      <c r="W60" s="533">
        <v>51565.26</v>
      </c>
      <c r="X60" s="533">
        <f t="shared" si="1"/>
        <v>1313930.06</v>
      </c>
      <c r="Y60" s="533">
        <v>0</v>
      </c>
      <c r="Z60" s="533">
        <v>216.65</v>
      </c>
      <c r="AA60" s="533">
        <v>529.94000000000005</v>
      </c>
      <c r="AB60" s="17"/>
      <c r="AC60" s="534">
        <f>SUM(I60:AB60)-X60</f>
        <v>1314676.6499999999</v>
      </c>
    </row>
    <row r="61" spans="1:29">
      <c r="A61" s="24">
        <v>44</v>
      </c>
      <c r="B61" s="544" t="s">
        <v>1305</v>
      </c>
      <c r="C61" s="544" t="s">
        <v>1306</v>
      </c>
      <c r="D61" s="545" t="s">
        <v>1307</v>
      </c>
      <c r="E61" s="539" t="s">
        <v>1308</v>
      </c>
      <c r="F61" s="545" t="s">
        <v>1309</v>
      </c>
      <c r="G61" s="547" t="s">
        <v>1226</v>
      </c>
      <c r="H61" s="548">
        <v>1.8200000000000001E-2</v>
      </c>
      <c r="I61" s="549">
        <v>941</v>
      </c>
      <c r="J61" s="549">
        <v>29.3</v>
      </c>
      <c r="K61" s="549">
        <v>5917.89</v>
      </c>
      <c r="L61" s="549">
        <v>11980.05</v>
      </c>
      <c r="M61" s="549">
        <v>2617.8000000000002</v>
      </c>
      <c r="N61" s="549">
        <v>142.19999999999999</v>
      </c>
      <c r="O61" s="549">
        <v>10712.37</v>
      </c>
      <c r="P61" s="549">
        <v>197.52</v>
      </c>
      <c r="Q61" s="549">
        <v>144039.29</v>
      </c>
      <c r="R61" s="549">
        <v>16280.67</v>
      </c>
      <c r="S61" s="549">
        <v>10247.120000000001</v>
      </c>
      <c r="T61" s="549">
        <v>0</v>
      </c>
      <c r="U61" s="549">
        <v>0</v>
      </c>
      <c r="V61" s="549">
        <v>0</v>
      </c>
      <c r="W61" s="549">
        <v>0</v>
      </c>
      <c r="X61" s="533">
        <f t="shared" si="1"/>
        <v>203105.21000000002</v>
      </c>
      <c r="Y61" s="549">
        <v>0</v>
      </c>
      <c r="Z61" s="549">
        <v>0</v>
      </c>
      <c r="AA61" s="549">
        <v>0</v>
      </c>
      <c r="AB61" s="17"/>
      <c r="AC61" s="540">
        <f>SUM(I61:AB61)-X61</f>
        <v>203105.21000000002</v>
      </c>
    </row>
    <row r="62" spans="1:29">
      <c r="A62" s="24">
        <v>45</v>
      </c>
      <c r="B62" s="544" t="s">
        <v>1310</v>
      </c>
      <c r="C62" s="544" t="s">
        <v>1311</v>
      </c>
      <c r="D62" s="545" t="s">
        <v>1312</v>
      </c>
      <c r="E62" s="539" t="s">
        <v>1313</v>
      </c>
      <c r="F62" s="545" t="s">
        <v>1309</v>
      </c>
      <c r="G62" s="547" t="s">
        <v>1226</v>
      </c>
      <c r="H62" s="548">
        <v>1.8200000000000001E-2</v>
      </c>
      <c r="I62" s="549">
        <v>0</v>
      </c>
      <c r="J62" s="549">
        <v>0</v>
      </c>
      <c r="K62" s="549">
        <v>0</v>
      </c>
      <c r="L62" s="549">
        <v>0</v>
      </c>
      <c r="M62" s="549">
        <v>0</v>
      </c>
      <c r="N62" s="549">
        <v>0</v>
      </c>
      <c r="O62" s="549">
        <v>0</v>
      </c>
      <c r="P62" s="549">
        <v>0</v>
      </c>
      <c r="Q62" s="549">
        <v>40697.07</v>
      </c>
      <c r="R62" s="549">
        <v>101061.64</v>
      </c>
      <c r="S62" s="549">
        <v>10209.25</v>
      </c>
      <c r="T62" s="549">
        <v>56.69</v>
      </c>
      <c r="U62" s="549">
        <v>0</v>
      </c>
      <c r="V62" s="549">
        <v>0</v>
      </c>
      <c r="W62" s="549">
        <v>0</v>
      </c>
      <c r="X62" s="533">
        <f t="shared" si="1"/>
        <v>152024.65</v>
      </c>
      <c r="Y62" s="549">
        <v>0</v>
      </c>
      <c r="Z62" s="549">
        <v>0</v>
      </c>
      <c r="AA62" s="549">
        <v>0</v>
      </c>
      <c r="AB62" s="17"/>
      <c r="AC62" s="540">
        <f>SUM(I62:AB62)-X62</f>
        <v>152024.65</v>
      </c>
    </row>
    <row r="63" spans="1:29">
      <c r="A63" s="24">
        <v>46</v>
      </c>
      <c r="B63" s="550" t="s">
        <v>1314</v>
      </c>
      <c r="C63" s="550" t="s">
        <v>1315</v>
      </c>
      <c r="D63" s="528" t="s">
        <v>1316</v>
      </c>
      <c r="E63" s="539" t="s">
        <v>1213</v>
      </c>
      <c r="F63" s="528" t="s">
        <v>1317</v>
      </c>
      <c r="G63" s="525" t="s">
        <v>1226</v>
      </c>
      <c r="H63" s="551">
        <v>1.8200000000000001E-2</v>
      </c>
      <c r="I63" s="549">
        <v>59.46</v>
      </c>
      <c r="J63" s="549">
        <v>63.47</v>
      </c>
      <c r="K63" s="549">
        <v>61.44</v>
      </c>
      <c r="L63" s="549">
        <v>60.45</v>
      </c>
      <c r="M63" s="549">
        <v>60.13</v>
      </c>
      <c r="N63" s="549">
        <v>65.97</v>
      </c>
      <c r="O63" s="549">
        <v>57.6</v>
      </c>
      <c r="P63" s="549">
        <v>4879.1099999999997</v>
      </c>
      <c r="Q63" s="549">
        <v>82.03</v>
      </c>
      <c r="R63" s="549">
        <v>50.42</v>
      </c>
      <c r="S63" s="549">
        <v>114.43</v>
      </c>
      <c r="T63" s="549">
        <v>77.38</v>
      </c>
      <c r="U63" s="549">
        <v>73.209999999999994</v>
      </c>
      <c r="V63" s="549">
        <v>85.69</v>
      </c>
      <c r="W63" s="549">
        <v>125.23</v>
      </c>
      <c r="X63" s="533">
        <f t="shared" si="1"/>
        <v>5916.0199999999986</v>
      </c>
      <c r="Y63" s="549">
        <v>89.88</v>
      </c>
      <c r="Z63" s="549">
        <v>618.11</v>
      </c>
      <c r="AA63" s="549">
        <v>85074.18</v>
      </c>
      <c r="AB63" s="17"/>
      <c r="AC63" s="540">
        <f>SUM(I63:AB63)-X63</f>
        <v>91698.189999999988</v>
      </c>
    </row>
    <row r="64" spans="1:29">
      <c r="A64" s="24">
        <v>47</v>
      </c>
      <c r="B64" s="550" t="s">
        <v>1318</v>
      </c>
      <c r="C64" s="550" t="s">
        <v>1319</v>
      </c>
      <c r="D64" s="528" t="s">
        <v>1320</v>
      </c>
      <c r="E64" s="539" t="s">
        <v>1321</v>
      </c>
      <c r="F64" s="528" t="s">
        <v>1182</v>
      </c>
      <c r="G64" s="525" t="s">
        <v>1217</v>
      </c>
      <c r="H64" s="551">
        <v>1.2500000000000001E-2</v>
      </c>
      <c r="I64" s="530">
        <v>0</v>
      </c>
      <c r="J64" s="530">
        <v>0</v>
      </c>
      <c r="K64" s="530">
        <v>0</v>
      </c>
      <c r="L64" s="530">
        <v>0</v>
      </c>
      <c r="M64" s="530">
        <v>0</v>
      </c>
      <c r="N64" s="530">
        <v>0</v>
      </c>
      <c r="O64" s="530">
        <v>0</v>
      </c>
      <c r="P64" s="530">
        <v>0</v>
      </c>
      <c r="Q64" s="530">
        <v>0</v>
      </c>
      <c r="R64" s="530">
        <v>0</v>
      </c>
      <c r="S64" s="530">
        <v>0</v>
      </c>
      <c r="T64" s="530">
        <v>0</v>
      </c>
      <c r="U64" s="530">
        <v>0</v>
      </c>
      <c r="V64" s="530">
        <v>0</v>
      </c>
      <c r="W64" s="530">
        <v>0</v>
      </c>
      <c r="X64" s="533">
        <f t="shared" si="1"/>
        <v>0</v>
      </c>
      <c r="Y64" s="530">
        <v>0</v>
      </c>
      <c r="Z64" s="530">
        <v>0</v>
      </c>
      <c r="AA64" s="530">
        <v>0</v>
      </c>
      <c r="AB64" s="17"/>
      <c r="AC64" s="531">
        <f>SUM(I64:AB64)</f>
        <v>0</v>
      </c>
    </row>
    <row r="65" spans="1:29">
      <c r="A65" s="24">
        <v>48</v>
      </c>
      <c r="B65" s="550" t="s">
        <v>1322</v>
      </c>
      <c r="C65" s="550" t="s">
        <v>1323</v>
      </c>
      <c r="D65" s="528" t="s">
        <v>1324</v>
      </c>
      <c r="E65" s="539" t="s">
        <v>1325</v>
      </c>
      <c r="F65" s="528" t="s">
        <v>1222</v>
      </c>
      <c r="G65" s="525" t="s">
        <v>1217</v>
      </c>
      <c r="H65" s="551">
        <v>1.2500000000000001E-2</v>
      </c>
      <c r="I65" s="530">
        <v>0</v>
      </c>
      <c r="J65" s="530">
        <v>0</v>
      </c>
      <c r="K65" s="530">
        <v>0</v>
      </c>
      <c r="L65" s="530">
        <v>0</v>
      </c>
      <c r="M65" s="530">
        <v>0</v>
      </c>
      <c r="N65" s="530">
        <v>0</v>
      </c>
      <c r="O65" s="530">
        <v>0</v>
      </c>
      <c r="P65" s="530">
        <v>0</v>
      </c>
      <c r="Q65" s="530">
        <v>0</v>
      </c>
      <c r="R65" s="530">
        <v>0</v>
      </c>
      <c r="S65" s="530">
        <v>0</v>
      </c>
      <c r="T65" s="530">
        <v>0</v>
      </c>
      <c r="U65" s="530">
        <v>0</v>
      </c>
      <c r="V65" s="530">
        <v>0</v>
      </c>
      <c r="W65" s="530">
        <v>0</v>
      </c>
      <c r="X65" s="533">
        <f t="shared" si="1"/>
        <v>0</v>
      </c>
      <c r="Y65" s="530">
        <v>0</v>
      </c>
      <c r="Z65" s="530">
        <v>0</v>
      </c>
      <c r="AA65" s="530">
        <v>0</v>
      </c>
      <c r="AB65" s="17"/>
      <c r="AC65" s="531">
        <f>SUM(I65:AB65)</f>
        <v>0</v>
      </c>
    </row>
    <row r="66" spans="1:29">
      <c r="A66" s="24">
        <v>49</v>
      </c>
      <c r="B66" s="544" t="s">
        <v>1326</v>
      </c>
      <c r="C66" s="544" t="s">
        <v>1327</v>
      </c>
      <c r="D66" s="545" t="s">
        <v>1328</v>
      </c>
      <c r="E66" s="539" t="s">
        <v>1329</v>
      </c>
      <c r="F66" s="545" t="s">
        <v>1182</v>
      </c>
      <c r="G66" s="547" t="s">
        <v>1217</v>
      </c>
      <c r="H66" s="548">
        <v>1.2500000000000001E-2</v>
      </c>
      <c r="I66" s="549">
        <v>0</v>
      </c>
      <c r="J66" s="549">
        <v>0</v>
      </c>
      <c r="K66" s="549">
        <v>0</v>
      </c>
      <c r="L66" s="549">
        <v>0</v>
      </c>
      <c r="M66" s="549">
        <v>0</v>
      </c>
      <c r="N66" s="549">
        <v>0</v>
      </c>
      <c r="O66" s="549">
        <v>0</v>
      </c>
      <c r="P66" s="549">
        <v>0</v>
      </c>
      <c r="Q66" s="549">
        <v>0</v>
      </c>
      <c r="R66" s="549">
        <v>0</v>
      </c>
      <c r="S66" s="549">
        <v>0</v>
      </c>
      <c r="T66" s="549">
        <v>0</v>
      </c>
      <c r="U66" s="549">
        <v>0</v>
      </c>
      <c r="V66" s="549">
        <v>0</v>
      </c>
      <c r="W66" s="549">
        <v>0</v>
      </c>
      <c r="X66" s="533">
        <f t="shared" si="1"/>
        <v>0</v>
      </c>
      <c r="Y66" s="549">
        <v>0</v>
      </c>
      <c r="Z66" s="549">
        <v>0</v>
      </c>
      <c r="AA66" s="549">
        <v>0</v>
      </c>
      <c r="AB66" s="17"/>
      <c r="AC66" s="531">
        <f>SUM(I66:AB66)</f>
        <v>0</v>
      </c>
    </row>
    <row r="67" spans="1:29">
      <c r="A67" s="24">
        <v>50</v>
      </c>
      <c r="B67" s="544" t="s">
        <v>1330</v>
      </c>
      <c r="C67" s="544" t="s">
        <v>1331</v>
      </c>
      <c r="D67" s="545" t="s">
        <v>1332</v>
      </c>
      <c r="E67" s="539" t="s">
        <v>1333</v>
      </c>
      <c r="F67" s="545" t="s">
        <v>1309</v>
      </c>
      <c r="G67" s="556" t="s">
        <v>1217</v>
      </c>
      <c r="H67" s="557">
        <v>1.2500000000000001E-2</v>
      </c>
      <c r="I67" s="549">
        <v>0</v>
      </c>
      <c r="J67" s="549">
        <v>0</v>
      </c>
      <c r="K67" s="549">
        <v>0</v>
      </c>
      <c r="L67" s="549">
        <v>0</v>
      </c>
      <c r="M67" s="549">
        <v>0</v>
      </c>
      <c r="N67" s="549">
        <v>0</v>
      </c>
      <c r="O67" s="549">
        <v>0</v>
      </c>
      <c r="P67" s="549">
        <v>0</v>
      </c>
      <c r="Q67" s="549">
        <v>0</v>
      </c>
      <c r="R67" s="549">
        <v>0</v>
      </c>
      <c r="S67" s="549">
        <v>0</v>
      </c>
      <c r="T67" s="549">
        <v>0</v>
      </c>
      <c r="U67" s="549">
        <v>0</v>
      </c>
      <c r="V67" s="549">
        <v>0</v>
      </c>
      <c r="W67" s="549">
        <v>9051.64</v>
      </c>
      <c r="X67" s="533">
        <f t="shared" si="1"/>
        <v>9051.64</v>
      </c>
      <c r="Y67" s="549">
        <v>487988.5</v>
      </c>
      <c r="Z67" s="549">
        <v>25679.63</v>
      </c>
      <c r="AA67" s="549">
        <v>2777.13</v>
      </c>
      <c r="AB67" s="17"/>
      <c r="AC67" s="534">
        <f t="shared" ref="AC67:AC72" si="4">SUM(I67:AB67)-X67</f>
        <v>525496.9</v>
      </c>
    </row>
    <row r="68" spans="1:29">
      <c r="A68" s="24">
        <v>51</v>
      </c>
      <c r="B68" s="544" t="s">
        <v>1334</v>
      </c>
      <c r="C68" s="544" t="s">
        <v>1335</v>
      </c>
      <c r="D68" s="545" t="s">
        <v>1336</v>
      </c>
      <c r="E68" s="539" t="s">
        <v>1337</v>
      </c>
      <c r="F68" s="545" t="s">
        <v>1309</v>
      </c>
      <c r="G68" s="556" t="s">
        <v>1217</v>
      </c>
      <c r="H68" s="557">
        <v>1.2500000000000001E-2</v>
      </c>
      <c r="I68" s="549">
        <v>0</v>
      </c>
      <c r="J68" s="549">
        <v>0</v>
      </c>
      <c r="K68" s="549">
        <v>0</v>
      </c>
      <c r="L68" s="549">
        <v>0</v>
      </c>
      <c r="M68" s="549">
        <v>0</v>
      </c>
      <c r="N68" s="549">
        <v>0</v>
      </c>
      <c r="O68" s="549">
        <v>0</v>
      </c>
      <c r="P68" s="549">
        <v>0</v>
      </c>
      <c r="Q68" s="549">
        <v>0</v>
      </c>
      <c r="R68" s="549">
        <v>0</v>
      </c>
      <c r="S68" s="549">
        <v>0</v>
      </c>
      <c r="T68" s="549">
        <v>0</v>
      </c>
      <c r="U68" s="549">
        <v>0</v>
      </c>
      <c r="V68" s="549">
        <v>0</v>
      </c>
      <c r="W68" s="549">
        <v>11892.46</v>
      </c>
      <c r="X68" s="533">
        <f t="shared" si="1"/>
        <v>11892.46</v>
      </c>
      <c r="Y68" s="549">
        <v>525106.31000000006</v>
      </c>
      <c r="Z68" s="549">
        <v>-14338.9</v>
      </c>
      <c r="AA68" s="549">
        <v>244.91</v>
      </c>
      <c r="AB68" s="17"/>
      <c r="AC68" s="534">
        <f t="shared" si="4"/>
        <v>522904.78000000009</v>
      </c>
    </row>
    <row r="69" spans="1:29">
      <c r="A69" s="24">
        <v>52</v>
      </c>
      <c r="B69" s="544" t="s">
        <v>1338</v>
      </c>
      <c r="C69" s="544" t="s">
        <v>1339</v>
      </c>
      <c r="D69" s="545" t="s">
        <v>1340</v>
      </c>
      <c r="E69" s="539" t="s">
        <v>1341</v>
      </c>
      <c r="F69" s="545" t="s">
        <v>1253</v>
      </c>
      <c r="G69" s="556" t="s">
        <v>1217</v>
      </c>
      <c r="H69" s="557">
        <v>1.2500000000000001E-2</v>
      </c>
      <c r="I69" s="549">
        <v>0</v>
      </c>
      <c r="J69" s="549">
        <v>0</v>
      </c>
      <c r="K69" s="549">
        <v>0</v>
      </c>
      <c r="L69" s="549">
        <v>0</v>
      </c>
      <c r="M69" s="549">
        <v>0</v>
      </c>
      <c r="N69" s="549">
        <v>0</v>
      </c>
      <c r="O69" s="549">
        <v>0</v>
      </c>
      <c r="P69" s="549">
        <v>0</v>
      </c>
      <c r="Q69" s="549">
        <v>0</v>
      </c>
      <c r="R69" s="549">
        <v>0</v>
      </c>
      <c r="S69" s="549">
        <v>0</v>
      </c>
      <c r="T69" s="549">
        <v>0</v>
      </c>
      <c r="U69" s="549">
        <v>0</v>
      </c>
      <c r="V69" s="549">
        <v>0</v>
      </c>
      <c r="W69" s="549">
        <v>0</v>
      </c>
      <c r="X69" s="533">
        <f t="shared" si="1"/>
        <v>0</v>
      </c>
      <c r="Y69" s="549">
        <v>0</v>
      </c>
      <c r="Z69" s="549">
        <v>0</v>
      </c>
      <c r="AA69" s="549">
        <v>0</v>
      </c>
      <c r="AB69" s="17"/>
      <c r="AC69" s="534">
        <f t="shared" si="4"/>
        <v>0</v>
      </c>
    </row>
    <row r="70" spans="1:29">
      <c r="A70" s="24">
        <v>53</v>
      </c>
      <c r="B70" s="544" t="s">
        <v>1342</v>
      </c>
      <c r="C70" s="544" t="s">
        <v>1343</v>
      </c>
      <c r="D70" s="545" t="s">
        <v>1344</v>
      </c>
      <c r="E70" s="539" t="s">
        <v>1213</v>
      </c>
      <c r="F70" s="545" t="s">
        <v>1242</v>
      </c>
      <c r="G70" s="556" t="s">
        <v>1226</v>
      </c>
      <c r="H70" s="557">
        <v>1.8200000000000001E-2</v>
      </c>
      <c r="I70" s="558">
        <v>0</v>
      </c>
      <c r="J70" s="558">
        <v>0</v>
      </c>
      <c r="K70" s="558">
        <v>0</v>
      </c>
      <c r="L70" s="558">
        <v>0</v>
      </c>
      <c r="M70" s="558">
        <v>0</v>
      </c>
      <c r="N70" s="558">
        <v>0</v>
      </c>
      <c r="O70" s="558">
        <v>0</v>
      </c>
      <c r="P70" s="558">
        <v>0</v>
      </c>
      <c r="Q70" s="558">
        <v>0</v>
      </c>
      <c r="R70" s="558">
        <v>0</v>
      </c>
      <c r="S70" s="558">
        <v>0</v>
      </c>
      <c r="T70" s="558">
        <v>0</v>
      </c>
      <c r="U70" s="558">
        <v>0</v>
      </c>
      <c r="V70" s="558">
        <v>0</v>
      </c>
      <c r="W70" s="558">
        <v>0</v>
      </c>
      <c r="X70" s="533">
        <f t="shared" si="1"/>
        <v>0</v>
      </c>
      <c r="Y70" s="558">
        <v>0</v>
      </c>
      <c r="Z70" s="558">
        <v>0</v>
      </c>
      <c r="AA70" s="558">
        <v>8554.0400000000009</v>
      </c>
      <c r="AB70" s="17"/>
      <c r="AC70" s="534">
        <f t="shared" si="4"/>
        <v>8554.0400000000009</v>
      </c>
    </row>
    <row r="71" spans="1:29">
      <c r="A71" s="24">
        <v>54</v>
      </c>
      <c r="B71" s="544" t="s">
        <v>1345</v>
      </c>
      <c r="C71" s="544" t="s">
        <v>1346</v>
      </c>
      <c r="D71" s="545" t="s">
        <v>1347</v>
      </c>
      <c r="E71" s="546" t="s">
        <v>1213</v>
      </c>
      <c r="F71" s="545" t="s">
        <v>1317</v>
      </c>
      <c r="G71" s="547" t="s">
        <v>1183</v>
      </c>
      <c r="H71" s="548">
        <v>1.2500000000000001E-2</v>
      </c>
      <c r="I71" s="549">
        <v>0</v>
      </c>
      <c r="J71" s="549">
        <v>0</v>
      </c>
      <c r="K71" s="549">
        <v>0</v>
      </c>
      <c r="L71" s="549">
        <v>0</v>
      </c>
      <c r="M71" s="549">
        <v>0</v>
      </c>
      <c r="N71" s="549">
        <v>0</v>
      </c>
      <c r="O71" s="549">
        <v>0</v>
      </c>
      <c r="P71" s="549">
        <v>0</v>
      </c>
      <c r="Q71" s="549">
        <v>0</v>
      </c>
      <c r="R71" s="549">
        <v>0</v>
      </c>
      <c r="S71" s="549">
        <v>0</v>
      </c>
      <c r="T71" s="549">
        <v>0</v>
      </c>
      <c r="U71" s="549">
        <v>0</v>
      </c>
      <c r="V71" s="549">
        <v>0</v>
      </c>
      <c r="W71" s="549">
        <v>0</v>
      </c>
      <c r="X71" s="533">
        <f t="shared" si="1"/>
        <v>0</v>
      </c>
      <c r="Y71" s="549">
        <v>0</v>
      </c>
      <c r="Z71" s="549">
        <v>26682.07</v>
      </c>
      <c r="AA71" s="549">
        <v>1462.08</v>
      </c>
      <c r="AB71" s="17"/>
      <c r="AC71" s="534">
        <f t="shared" si="4"/>
        <v>28144.15</v>
      </c>
    </row>
    <row r="72" spans="1:29">
      <c r="A72" s="24">
        <v>55</v>
      </c>
      <c r="B72" s="552"/>
      <c r="C72" s="552"/>
      <c r="D72" s="37" t="s">
        <v>1652</v>
      </c>
      <c r="E72" s="417"/>
      <c r="F72" s="37"/>
      <c r="G72" s="283"/>
      <c r="H72" s="553"/>
      <c r="I72" s="533"/>
      <c r="J72" s="533"/>
      <c r="K72" s="533"/>
      <c r="L72" s="533"/>
      <c r="M72" s="533"/>
      <c r="N72" s="533"/>
      <c r="O72" s="533"/>
      <c r="P72" s="533"/>
      <c r="Q72" s="533"/>
      <c r="R72" s="533"/>
      <c r="S72" s="533"/>
      <c r="T72" s="533"/>
      <c r="U72" s="533"/>
      <c r="V72" s="533"/>
      <c r="W72" s="533"/>
      <c r="X72" s="533"/>
      <c r="Y72" s="533"/>
      <c r="Z72" s="533">
        <v>15452.49</v>
      </c>
      <c r="AA72" s="533">
        <v>537465.21</v>
      </c>
      <c r="AB72" s="17"/>
      <c r="AC72" s="534">
        <f t="shared" si="4"/>
        <v>552917.69999999995</v>
      </c>
    </row>
    <row r="73" spans="1:29">
      <c r="A73" s="24">
        <v>56</v>
      </c>
      <c r="B73" s="552"/>
      <c r="C73" s="552"/>
      <c r="D73" s="37" t="s">
        <v>1348</v>
      </c>
      <c r="E73" s="417"/>
      <c r="F73" s="37"/>
      <c r="G73" s="283"/>
      <c r="H73" s="553"/>
      <c r="I73" s="533"/>
      <c r="J73" s="533"/>
      <c r="K73" s="533"/>
      <c r="L73" s="533"/>
      <c r="M73" s="533"/>
      <c r="N73" s="533"/>
      <c r="O73" s="533"/>
      <c r="P73" s="533"/>
      <c r="Q73" s="533"/>
      <c r="R73" s="533"/>
      <c r="S73" s="533"/>
      <c r="T73" s="533"/>
      <c r="U73" s="533"/>
      <c r="V73" s="533"/>
      <c r="W73" s="533"/>
      <c r="X73" s="533"/>
      <c r="Y73" s="533"/>
      <c r="Z73" s="533"/>
      <c r="AA73" s="533"/>
      <c r="AB73" s="17"/>
      <c r="AC73" s="534"/>
    </row>
    <row r="74" spans="1:29">
      <c r="B74" s="552"/>
      <c r="C74" s="552"/>
      <c r="D74" s="17"/>
      <c r="E74" s="16"/>
      <c r="F74" s="17"/>
      <c r="G74" s="285"/>
      <c r="H74" s="559"/>
      <c r="I74" s="560"/>
      <c r="J74" s="560"/>
      <c r="K74" s="560"/>
      <c r="L74" s="560"/>
      <c r="M74" s="560"/>
      <c r="N74" s="560"/>
      <c r="O74" s="560"/>
      <c r="P74" s="560"/>
      <c r="Q74" s="560"/>
      <c r="R74" s="560"/>
      <c r="S74" s="560"/>
      <c r="T74" s="560"/>
      <c r="U74" s="560"/>
      <c r="V74" s="560"/>
      <c r="W74" s="560"/>
      <c r="X74" s="560"/>
      <c r="Y74" s="560"/>
      <c r="Z74" s="560"/>
      <c r="AA74" s="560"/>
      <c r="AB74" s="17"/>
      <c r="AC74" s="561"/>
    </row>
    <row r="75" spans="1:29">
      <c r="A75" s="24">
        <v>57</v>
      </c>
      <c r="B75" s="552"/>
      <c r="C75" s="552"/>
      <c r="D75" s="17"/>
      <c r="E75" s="16"/>
      <c r="F75" s="17"/>
      <c r="G75" s="285"/>
      <c r="H75" s="559"/>
      <c r="I75" s="560">
        <f>SUM(I17:I74)</f>
        <v>2543.4900000000002</v>
      </c>
      <c r="J75" s="560">
        <f t="shared" ref="J75:AA75" si="5">SUM(J17:J74)</f>
        <v>43379.76</v>
      </c>
      <c r="K75" s="560">
        <f t="shared" si="5"/>
        <v>675435.17999999993</v>
      </c>
      <c r="L75" s="560">
        <f t="shared" si="5"/>
        <v>2443075.6799999997</v>
      </c>
      <c r="M75" s="560">
        <f t="shared" si="5"/>
        <v>1938153.3699999996</v>
      </c>
      <c r="N75" s="560">
        <f t="shared" si="5"/>
        <v>1899546.71</v>
      </c>
      <c r="O75" s="560">
        <f t="shared" si="5"/>
        <v>213919.01999999996</v>
      </c>
      <c r="P75" s="560">
        <f t="shared" si="5"/>
        <v>144194.99</v>
      </c>
      <c r="Q75" s="560">
        <f t="shared" si="5"/>
        <v>1124446.07</v>
      </c>
      <c r="R75" s="560">
        <f t="shared" si="5"/>
        <v>263989.18</v>
      </c>
      <c r="S75" s="560">
        <f t="shared" si="5"/>
        <v>737864.83</v>
      </c>
      <c r="T75" s="560">
        <f t="shared" si="5"/>
        <v>2649288.5499999998</v>
      </c>
      <c r="U75" s="560">
        <f t="shared" si="5"/>
        <v>567774.77</v>
      </c>
      <c r="V75" s="560">
        <f t="shared" si="5"/>
        <v>718706.01</v>
      </c>
      <c r="W75" s="560">
        <f t="shared" si="5"/>
        <v>813985.73</v>
      </c>
      <c r="X75" s="560">
        <f t="shared" si="5"/>
        <v>14236303.340000004</v>
      </c>
      <c r="Y75" s="560">
        <f t="shared" si="5"/>
        <v>3001996.63</v>
      </c>
      <c r="Z75" s="560">
        <f t="shared" si="5"/>
        <v>785203.16999999993</v>
      </c>
      <c r="AA75" s="560">
        <f t="shared" si="5"/>
        <v>2086444.94</v>
      </c>
      <c r="AB75" s="17"/>
      <c r="AC75" s="561">
        <f>SUM(AC17:AC74)</f>
        <v>20109948.079999994</v>
      </c>
    </row>
    <row r="76" spans="1:29" ht="27">
      <c r="B76" s="820" t="s">
        <v>2090</v>
      </c>
      <c r="C76" s="807"/>
      <c r="E76" s="6"/>
      <c r="G76" s="522"/>
      <c r="H76" s="523"/>
      <c r="I76" s="291"/>
      <c r="J76" s="291"/>
      <c r="K76" s="820" t="s">
        <v>2090</v>
      </c>
      <c r="L76" s="291"/>
      <c r="M76" s="291"/>
      <c r="N76" s="291"/>
      <c r="O76" s="291"/>
      <c r="P76" s="291"/>
      <c r="Q76" s="291"/>
      <c r="R76" s="291"/>
      <c r="S76" s="291"/>
      <c r="T76" s="291"/>
      <c r="U76" s="820" t="s">
        <v>2090</v>
      </c>
      <c r="V76" s="291"/>
      <c r="W76" s="291"/>
      <c r="X76" s="291"/>
      <c r="Y76" s="291"/>
      <c r="Z76" s="291"/>
      <c r="AA76" s="291"/>
      <c r="AC76" s="291"/>
    </row>
    <row r="77" spans="1:29">
      <c r="A77" s="24">
        <v>58</v>
      </c>
      <c r="B77" s="6"/>
      <c r="C77" s="21"/>
      <c r="E77" s="6"/>
      <c r="G77" s="522"/>
      <c r="H77" s="523"/>
      <c r="I77" s="291"/>
      <c r="J77" s="562">
        <f>+J75+I75</f>
        <v>45923.25</v>
      </c>
      <c r="K77" s="562">
        <f>+J77+K75</f>
        <v>721358.42999999993</v>
      </c>
      <c r="L77" s="562">
        <f t="shared" ref="L77:AA77" si="6">+K77+L75</f>
        <v>3164434.1099999994</v>
      </c>
      <c r="M77" s="562">
        <f t="shared" si="6"/>
        <v>5102587.4799999986</v>
      </c>
      <c r="N77" s="562">
        <f t="shared" si="6"/>
        <v>7002134.1899999985</v>
      </c>
      <c r="O77" s="562">
        <f t="shared" si="6"/>
        <v>7216053.2099999981</v>
      </c>
      <c r="P77" s="562">
        <f t="shared" si="6"/>
        <v>7360248.1999999983</v>
      </c>
      <c r="Q77" s="562">
        <f t="shared" si="6"/>
        <v>8484694.2699999977</v>
      </c>
      <c r="R77" s="562">
        <f t="shared" si="6"/>
        <v>8748683.4499999974</v>
      </c>
      <c r="S77" s="562">
        <f t="shared" si="6"/>
        <v>9486548.2799999975</v>
      </c>
      <c r="T77" s="562">
        <f t="shared" si="6"/>
        <v>12135836.829999998</v>
      </c>
      <c r="U77" s="562">
        <f t="shared" si="6"/>
        <v>12703611.599999998</v>
      </c>
      <c r="V77" s="562">
        <f t="shared" si="6"/>
        <v>13422317.609999998</v>
      </c>
      <c r="W77" s="562">
        <f t="shared" si="6"/>
        <v>14236303.339999998</v>
      </c>
      <c r="X77" s="562"/>
      <c r="Y77" s="562">
        <f>+W77+Y75</f>
        <v>17238299.969999999</v>
      </c>
      <c r="Z77" s="562">
        <f t="shared" si="6"/>
        <v>18023503.140000001</v>
      </c>
      <c r="AA77" s="562">
        <f t="shared" si="6"/>
        <v>20109948.080000002</v>
      </c>
      <c r="AC77" s="291"/>
    </row>
    <row r="78" spans="1:29">
      <c r="B78" s="6"/>
      <c r="C78" s="21"/>
      <c r="E78" s="6"/>
      <c r="G78" s="522"/>
      <c r="H78" s="523"/>
      <c r="I78" s="291"/>
      <c r="J78" s="291"/>
      <c r="K78" s="291"/>
      <c r="L78" s="291"/>
      <c r="M78" s="291"/>
      <c r="N78" s="291"/>
      <c r="O78" s="291"/>
      <c r="P78" s="291"/>
      <c r="Q78" s="291"/>
      <c r="R78" s="291"/>
      <c r="S78" s="291"/>
      <c r="T78" s="291"/>
      <c r="U78" s="291"/>
      <c r="V78" s="291"/>
      <c r="W78" s="291"/>
      <c r="X78" s="291"/>
      <c r="Y78" s="291"/>
      <c r="Z78" s="291"/>
      <c r="AA78" s="291"/>
      <c r="AC78" s="291"/>
    </row>
    <row r="79" spans="1:29">
      <c r="A79" s="24">
        <v>59</v>
      </c>
      <c r="B79" s="6"/>
      <c r="C79" s="21"/>
      <c r="D79" s="4" t="s">
        <v>1975</v>
      </c>
      <c r="E79" s="6"/>
      <c r="G79" s="522"/>
      <c r="H79" s="523"/>
      <c r="I79" s="291"/>
      <c r="J79" s="291"/>
      <c r="K79" s="291"/>
      <c r="L79" s="291"/>
      <c r="M79" s="291"/>
      <c r="N79" s="291"/>
      <c r="O79" s="291"/>
      <c r="P79" s="291"/>
      <c r="Q79" s="291"/>
      <c r="R79" s="291"/>
      <c r="S79" s="291"/>
      <c r="T79" s="291"/>
      <c r="U79" s="291"/>
      <c r="V79" s="291"/>
      <c r="W79" s="291"/>
      <c r="X79" s="291"/>
      <c r="Y79" s="291"/>
      <c r="Z79" s="291"/>
      <c r="AA79" s="563">
        <f>(((+AA77+N77)/2)+SUM(O77:Z77))/12</f>
        <v>11884345.086249998</v>
      </c>
      <c r="AC79" s="291"/>
    </row>
    <row r="80" spans="1:29">
      <c r="B80" s="6"/>
      <c r="C80" s="21"/>
      <c r="E80" s="6"/>
      <c r="G80" s="522"/>
      <c r="H80" s="523"/>
      <c r="I80" s="291"/>
      <c r="J80" s="291"/>
      <c r="K80" s="291"/>
      <c r="L80" s="291"/>
      <c r="M80" s="291"/>
      <c r="N80" s="291"/>
      <c r="O80" s="291"/>
      <c r="P80" s="291"/>
      <c r="Q80" s="291"/>
      <c r="R80" s="291"/>
      <c r="S80" s="291"/>
      <c r="T80" s="291"/>
      <c r="U80" s="291"/>
      <c r="V80" s="291"/>
      <c r="W80" s="291"/>
      <c r="X80" s="291"/>
      <c r="Y80" s="291"/>
      <c r="Z80" s="291"/>
      <c r="AA80" s="291"/>
      <c r="AC80" s="291"/>
    </row>
  </sheetData>
  <mergeCells count="15">
    <mergeCell ref="B1:H1"/>
    <mergeCell ref="B2:H2"/>
    <mergeCell ref="B3:H3"/>
    <mergeCell ref="B4:H4"/>
    <mergeCell ref="B5:H5"/>
    <mergeCell ref="N1:Q1"/>
    <mergeCell ref="N2:Q2"/>
    <mergeCell ref="N3:Q3"/>
    <mergeCell ref="N4:Q4"/>
    <mergeCell ref="N5:Q5"/>
    <mergeCell ref="X1:Z1"/>
    <mergeCell ref="X2:Z2"/>
    <mergeCell ref="X3:Z3"/>
    <mergeCell ref="X4:Z4"/>
    <mergeCell ref="X5:Z5"/>
  </mergeCells>
  <printOptions horizontalCentered="1"/>
  <pageMargins left="0.7" right="0.7" top="0.75" bottom="0.75" header="0.3" footer="0.3"/>
  <pageSetup scale="64" orientation="landscape" r:id="rId1"/>
  <headerFooter scaleWithDoc="0" alignWithMargins="0">
    <oddHeader>&amp;RPage &amp;P of &amp;N</oddHeader>
    <oddFooter>&amp;LElectronic Tab Name:&amp;A&amp;R&amp;"Times New Roman,Regular"&amp;9 26678.897\4829-5163-7600.v1</oddFooter>
  </headerFooter>
  <rowBreaks count="1" manualBreakCount="1">
    <brk id="51" max="16383" man="1"/>
  </rowBreaks>
  <colBreaks count="2" manualBreakCount="2">
    <brk id="10" max="78" man="1"/>
    <brk id="20" max="7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25"/>
  <sheetViews>
    <sheetView zoomScaleNormal="100" workbookViewId="0">
      <selection activeCell="A3" sqref="A3:H3"/>
    </sheetView>
  </sheetViews>
  <sheetFormatPr defaultColWidth="9.140625" defaultRowHeight="15.75"/>
  <cols>
    <col min="1" max="1" width="9.28515625" style="4" bestFit="1" customWidth="1"/>
    <col min="2" max="2" width="10.42578125" style="4" customWidth="1"/>
    <col min="3" max="3" width="50.28515625" style="4" customWidth="1"/>
    <col min="4" max="4" width="6.7109375" style="4" customWidth="1"/>
    <col min="5" max="5" width="12.28515625" style="4" customWidth="1"/>
    <col min="6" max="6" width="4.140625" style="4" customWidth="1"/>
    <col min="7" max="7" width="14.5703125" style="4" bestFit="1" customWidth="1"/>
    <col min="8" max="16384" width="9.140625" style="4"/>
  </cols>
  <sheetData>
    <row r="1" spans="1:7">
      <c r="A1" s="1244" t="s">
        <v>53</v>
      </c>
      <c r="B1" s="1244"/>
      <c r="C1" s="1244"/>
      <c r="D1" s="1244"/>
      <c r="E1" s="1244"/>
      <c r="F1" s="1244"/>
      <c r="G1" s="1244"/>
    </row>
    <row r="2" spans="1:7">
      <c r="A2" s="1244" t="s">
        <v>1659</v>
      </c>
      <c r="B2" s="1244"/>
      <c r="C2" s="1244"/>
      <c r="D2" s="1244"/>
      <c r="E2" s="1244"/>
      <c r="F2" s="1244"/>
      <c r="G2" s="1244"/>
    </row>
    <row r="3" spans="1:7">
      <c r="A3" s="1244" t="s">
        <v>2001</v>
      </c>
      <c r="B3" s="1244"/>
      <c r="C3" s="1244"/>
      <c r="D3" s="1244"/>
      <c r="E3" s="1244"/>
      <c r="F3" s="1244"/>
      <c r="G3" s="1244"/>
    </row>
    <row r="4" spans="1:7">
      <c r="A4" s="1244" t="s">
        <v>969</v>
      </c>
      <c r="B4" s="1244"/>
      <c r="C4" s="1244"/>
      <c r="D4" s="1244"/>
      <c r="E4" s="1244"/>
      <c r="F4" s="1244"/>
      <c r="G4" s="1244"/>
    </row>
    <row r="5" spans="1:7">
      <c r="A5" s="1244" t="s">
        <v>971</v>
      </c>
      <c r="B5" s="1244"/>
      <c r="C5" s="1244"/>
      <c r="D5" s="1244"/>
      <c r="E5" s="1244"/>
      <c r="F5" s="1244"/>
      <c r="G5" s="1244"/>
    </row>
    <row r="8" spans="1:7" s="6" customFormat="1">
      <c r="A8" s="13" t="s">
        <v>879</v>
      </c>
      <c r="B8" s="6" t="s">
        <v>1689</v>
      </c>
      <c r="C8" s="6" t="s">
        <v>1687</v>
      </c>
      <c r="E8" s="6" t="s">
        <v>1688</v>
      </c>
      <c r="G8" s="6" t="s">
        <v>1691</v>
      </c>
    </row>
    <row r="9" spans="1:7">
      <c r="A9" s="4">
        <v>1</v>
      </c>
      <c r="B9" s="265" t="s">
        <v>1653</v>
      </c>
      <c r="C9" s="265"/>
      <c r="D9" s="265"/>
      <c r="E9" s="265"/>
      <c r="F9" s="265"/>
      <c r="G9" s="465"/>
    </row>
    <row r="10" spans="1:7">
      <c r="A10" s="4">
        <v>2</v>
      </c>
      <c r="B10" s="265"/>
      <c r="C10" s="265" t="s">
        <v>2025</v>
      </c>
      <c r="D10" s="265"/>
      <c r="E10" s="265"/>
      <c r="F10" s="265"/>
      <c r="G10" s="465">
        <v>8908259.5399999991</v>
      </c>
    </row>
    <row r="11" spans="1:7">
      <c r="B11" s="265"/>
      <c r="C11" s="265"/>
      <c r="D11" s="265"/>
      <c r="E11" s="265"/>
      <c r="F11" s="265"/>
      <c r="G11" s="465"/>
    </row>
    <row r="12" spans="1:7">
      <c r="A12" s="4">
        <v>3</v>
      </c>
      <c r="B12" s="265" t="s">
        <v>2026</v>
      </c>
      <c r="C12" s="265"/>
      <c r="D12" s="265"/>
      <c r="E12" s="265"/>
      <c r="F12" s="265"/>
      <c r="G12" s="564">
        <f>-'Weather Normalization'!F21+'Weather Normalization'!F37</f>
        <v>-5420395.6576899998</v>
      </c>
    </row>
    <row r="13" spans="1:7">
      <c r="B13" s="265"/>
      <c r="C13" s="265"/>
      <c r="D13" s="265"/>
      <c r="E13" s="265"/>
      <c r="F13" s="265"/>
      <c r="G13" s="564"/>
    </row>
    <row r="14" spans="1:7">
      <c r="A14" s="4">
        <v>4</v>
      </c>
      <c r="B14" s="265" t="s">
        <v>2027</v>
      </c>
      <c r="C14" s="265"/>
      <c r="D14" s="265"/>
      <c r="E14" s="265"/>
      <c r="F14" s="265"/>
      <c r="G14" s="465">
        <v>1996287.22</v>
      </c>
    </row>
    <row r="15" spans="1:7">
      <c r="B15" s="265"/>
      <c r="C15" s="265"/>
      <c r="D15" s="265"/>
      <c r="E15" s="265"/>
      <c r="F15" s="265"/>
      <c r="G15" s="465"/>
    </row>
    <row r="16" spans="1:7">
      <c r="A16" s="4">
        <v>5</v>
      </c>
      <c r="B16" s="265" t="s">
        <v>2028</v>
      </c>
      <c r="C16" s="265"/>
      <c r="D16" s="265"/>
      <c r="E16" s="265"/>
      <c r="F16" s="265"/>
      <c r="G16" s="465">
        <v>-264059.74</v>
      </c>
    </row>
    <row r="17" spans="1:7" ht="16.5" thickBot="1">
      <c r="B17" s="265"/>
      <c r="C17" s="265"/>
      <c r="D17" s="265"/>
      <c r="E17" s="265"/>
      <c r="F17" s="265"/>
      <c r="G17" s="465"/>
    </row>
    <row r="18" spans="1:7" ht="16.5" thickBot="1">
      <c r="A18" s="4">
        <v>6</v>
      </c>
      <c r="B18" s="4" t="s">
        <v>957</v>
      </c>
      <c r="G18" s="565">
        <f>+G10+G12+G14+G16</f>
        <v>5220091.3623099988</v>
      </c>
    </row>
    <row r="19" spans="1:7" ht="16.5" thickTop="1"/>
    <row r="21" spans="1:7">
      <c r="A21" s="4">
        <v>7</v>
      </c>
      <c r="C21" s="717" t="s">
        <v>2037</v>
      </c>
      <c r="E21" s="4" t="s">
        <v>962</v>
      </c>
      <c r="G21" s="566">
        <f>2625126-104804</f>
        <v>2520322</v>
      </c>
    </row>
    <row r="22" spans="1:7">
      <c r="A22" s="4">
        <v>8</v>
      </c>
      <c r="C22" s="717" t="s">
        <v>2038</v>
      </c>
      <c r="E22" s="4" t="s">
        <v>963</v>
      </c>
      <c r="G22" s="566">
        <f>759405+6847</f>
        <v>766252</v>
      </c>
    </row>
    <row r="23" spans="1:7">
      <c r="A23" s="4">
        <v>9</v>
      </c>
      <c r="C23" s="717" t="s">
        <v>2039</v>
      </c>
      <c r="E23" s="4" t="s">
        <v>964</v>
      </c>
      <c r="G23" s="337">
        <v>1933517</v>
      </c>
    </row>
    <row r="24" spans="1:7">
      <c r="G24" s="567" t="s">
        <v>965</v>
      </c>
    </row>
    <row r="25" spans="1:7">
      <c r="A25" s="4">
        <v>10</v>
      </c>
      <c r="E25" s="4" t="s">
        <v>52</v>
      </c>
      <c r="G25" s="337">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Name:&amp;A&amp;R&amp;"Times New Roman,Regular"&amp;9 26678.897\4829-5163-7600.v1</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Z352"/>
  <sheetViews>
    <sheetView view="pageBreakPreview" topLeftCell="F295" zoomScale="80" zoomScaleNormal="100" zoomScaleSheetLayoutView="80" workbookViewId="0">
      <selection activeCell="X316" sqref="X316"/>
    </sheetView>
  </sheetViews>
  <sheetFormatPr defaultColWidth="9.140625" defaultRowHeight="15.75"/>
  <cols>
    <col min="1" max="1" width="1" style="4" customWidth="1"/>
    <col min="2" max="2" width="1.5703125" style="4" customWidth="1"/>
    <col min="3" max="3" width="8.7109375" style="713" bestFit="1" customWidth="1"/>
    <col min="4" max="4" width="14.42578125" style="4" customWidth="1"/>
    <col min="5" max="5" width="35.42578125" style="4" customWidth="1"/>
    <col min="6" max="19" width="18" style="4" bestFit="1" customWidth="1"/>
    <col min="20" max="20" width="2.42578125" style="4" customWidth="1"/>
    <col min="21" max="21" width="18" style="6" bestFit="1" customWidth="1"/>
    <col min="22" max="22" width="16.42578125" style="6" customWidth="1"/>
    <col min="23" max="23" width="16.28515625" style="6" bestFit="1" customWidth="1"/>
    <col min="24" max="24" width="17" style="6" bestFit="1" customWidth="1"/>
    <col min="25" max="16384" width="9.140625" style="4"/>
  </cols>
  <sheetData>
    <row r="1" spans="1:26">
      <c r="A1" s="568"/>
      <c r="B1" s="568"/>
      <c r="C1" s="569"/>
      <c r="D1" s="570"/>
      <c r="E1" s="571"/>
      <c r="F1" s="1244" t="s">
        <v>53</v>
      </c>
      <c r="G1" s="1244"/>
      <c r="H1" s="1244"/>
      <c r="I1" s="1244"/>
      <c r="J1" s="3"/>
      <c r="K1" s="3"/>
      <c r="L1" s="3"/>
      <c r="M1" s="571"/>
      <c r="N1" s="571"/>
      <c r="O1" s="571"/>
      <c r="P1" s="1244" t="s">
        <v>53</v>
      </c>
      <c r="Q1" s="1244"/>
      <c r="R1" s="1244"/>
      <c r="S1" s="1244"/>
      <c r="T1" s="1244"/>
      <c r="U1" s="3"/>
      <c r="V1" s="3"/>
      <c r="W1" s="572"/>
      <c r="X1" s="572"/>
      <c r="Y1" s="572"/>
      <c r="Z1" s="573"/>
    </row>
    <row r="2" spans="1:26">
      <c r="A2" s="568"/>
      <c r="B2" s="568"/>
      <c r="C2" s="569"/>
      <c r="D2" s="570"/>
      <c r="E2" s="571"/>
      <c r="F2" s="1244" t="s">
        <v>1659</v>
      </c>
      <c r="G2" s="1244"/>
      <c r="H2" s="1244"/>
      <c r="I2" s="1244"/>
      <c r="J2" s="3"/>
      <c r="K2" s="3"/>
      <c r="L2" s="3"/>
      <c r="M2" s="571"/>
      <c r="N2" s="571"/>
      <c r="O2" s="571"/>
      <c r="P2" s="1244" t="s">
        <v>1659</v>
      </c>
      <c r="Q2" s="1244"/>
      <c r="R2" s="1244"/>
      <c r="S2" s="1244"/>
      <c r="T2" s="1244"/>
      <c r="U2" s="3"/>
      <c r="V2" s="3"/>
      <c r="W2" s="572"/>
      <c r="X2" s="572"/>
      <c r="Y2" s="572"/>
      <c r="Z2" s="573"/>
    </row>
    <row r="3" spans="1:26">
      <c r="A3" s="568"/>
      <c r="B3" s="568"/>
      <c r="C3" s="569"/>
      <c r="D3" s="570"/>
      <c r="E3" s="571"/>
      <c r="F3" s="1244" t="s">
        <v>2113</v>
      </c>
      <c r="G3" s="1244"/>
      <c r="H3" s="1244"/>
      <c r="I3" s="1244"/>
      <c r="J3" s="3"/>
      <c r="K3" s="3"/>
      <c r="L3" s="3"/>
      <c r="M3" s="571"/>
      <c r="N3" s="571"/>
      <c r="O3" s="571"/>
      <c r="P3" s="1244" t="s">
        <v>2113</v>
      </c>
      <c r="Q3" s="1244"/>
      <c r="R3" s="1244"/>
      <c r="S3" s="1244"/>
      <c r="T3" s="1244"/>
      <c r="U3" s="3"/>
      <c r="V3" s="3"/>
      <c r="W3" s="572"/>
      <c r="X3" s="572"/>
      <c r="Y3" s="572"/>
      <c r="Z3" s="573"/>
    </row>
    <row r="4" spans="1:26">
      <c r="A4" s="568"/>
      <c r="B4" s="568"/>
      <c r="C4" s="569"/>
      <c r="D4" s="570"/>
      <c r="E4" s="571"/>
      <c r="F4" s="1244" t="s">
        <v>1944</v>
      </c>
      <c r="G4" s="1244"/>
      <c r="H4" s="1244"/>
      <c r="I4" s="1244"/>
      <c r="J4" s="3"/>
      <c r="K4" s="3"/>
      <c r="L4" s="3"/>
      <c r="M4" s="571"/>
      <c r="N4" s="571"/>
      <c r="O4" s="571"/>
      <c r="P4" s="1244" t="s">
        <v>1944</v>
      </c>
      <c r="Q4" s="1244"/>
      <c r="R4" s="1244"/>
      <c r="S4" s="1244"/>
      <c r="T4" s="1244"/>
      <c r="U4" s="3"/>
      <c r="V4" s="3"/>
      <c r="W4" s="572"/>
      <c r="X4" s="572"/>
      <c r="Y4" s="572"/>
      <c r="Z4" s="573"/>
    </row>
    <row r="5" spans="1:26">
      <c r="A5" s="568"/>
      <c r="B5" s="568"/>
      <c r="C5" s="569"/>
      <c r="D5" s="570"/>
      <c r="E5" s="571"/>
      <c r="F5" s="1244" t="s">
        <v>971</v>
      </c>
      <c r="G5" s="1244"/>
      <c r="H5" s="1244"/>
      <c r="I5" s="1244"/>
      <c r="J5" s="3"/>
      <c r="K5" s="3"/>
      <c r="L5" s="3"/>
      <c r="M5" s="571"/>
      <c r="N5" s="571"/>
      <c r="O5" s="571"/>
      <c r="P5" s="1244" t="s">
        <v>971</v>
      </c>
      <c r="Q5" s="1244"/>
      <c r="R5" s="1244"/>
      <c r="S5" s="1244"/>
      <c r="T5" s="1244"/>
      <c r="U5" s="3"/>
      <c r="V5" s="3"/>
      <c r="W5" s="572"/>
      <c r="X5" s="572"/>
      <c r="Y5" s="572"/>
      <c r="Z5" s="573"/>
    </row>
    <row r="6" spans="1:26">
      <c r="A6" s="568"/>
      <c r="B6" s="568"/>
      <c r="C6" s="569"/>
      <c r="D6" s="570"/>
      <c r="E6" s="574"/>
      <c r="F6" s="1291" t="s">
        <v>2091</v>
      </c>
      <c r="G6" s="1291"/>
      <c r="H6" s="1291"/>
      <c r="I6" s="1291"/>
      <c r="J6" s="574"/>
      <c r="K6" s="574"/>
      <c r="L6" s="574"/>
      <c r="M6" s="574"/>
      <c r="N6" s="574"/>
      <c r="O6" s="574"/>
      <c r="P6" s="1291" t="s">
        <v>2091</v>
      </c>
      <c r="Q6" s="1291"/>
      <c r="R6" s="1291"/>
      <c r="S6" s="1291"/>
      <c r="T6" s="572"/>
      <c r="U6" s="572"/>
      <c r="V6" s="576"/>
      <c r="W6" s="572"/>
      <c r="X6" s="572"/>
      <c r="Y6" s="572"/>
      <c r="Z6" s="573"/>
    </row>
    <row r="7" spans="1:26" s="24" customFormat="1">
      <c r="A7" s="577"/>
      <c r="B7" s="577"/>
      <c r="C7" s="577"/>
      <c r="D7" s="578" t="s">
        <v>1689</v>
      </c>
      <c r="E7" s="577" t="s">
        <v>1687</v>
      </c>
      <c r="F7" s="577" t="s">
        <v>1688</v>
      </c>
      <c r="G7" s="577" t="s">
        <v>1691</v>
      </c>
      <c r="H7" s="577" t="s">
        <v>1692</v>
      </c>
      <c r="I7" s="577" t="s">
        <v>1701</v>
      </c>
      <c r="J7" s="577" t="s">
        <v>1702</v>
      </c>
      <c r="K7" s="577" t="s">
        <v>1703</v>
      </c>
      <c r="L7" s="577" t="s">
        <v>1704</v>
      </c>
      <c r="M7" s="577" t="s">
        <v>1705</v>
      </c>
      <c r="N7" s="577" t="s">
        <v>1706</v>
      </c>
      <c r="O7" s="577" t="s">
        <v>1707</v>
      </c>
      <c r="P7" s="577" t="s">
        <v>1708</v>
      </c>
      <c r="Q7" s="579" t="s">
        <v>1709</v>
      </c>
      <c r="R7" s="577" t="s">
        <v>1710</v>
      </c>
      <c r="S7" s="580" t="s">
        <v>1984</v>
      </c>
      <c r="T7" s="581"/>
      <c r="U7" s="581" t="s">
        <v>1985</v>
      </c>
      <c r="V7" s="581" t="s">
        <v>1986</v>
      </c>
      <c r="W7" s="581" t="s">
        <v>1987</v>
      </c>
      <c r="X7" s="581" t="s">
        <v>1988</v>
      </c>
      <c r="Y7" s="581"/>
      <c r="Z7" s="582"/>
    </row>
    <row r="8" spans="1:26">
      <c r="A8" s="575"/>
      <c r="B8" s="575"/>
      <c r="C8" s="583"/>
      <c r="T8" s="572"/>
      <c r="U8" s="584" t="s">
        <v>388</v>
      </c>
      <c r="V8" s="584" t="s">
        <v>389</v>
      </c>
      <c r="W8" s="584" t="s">
        <v>390</v>
      </c>
      <c r="X8" s="584" t="s">
        <v>391</v>
      </c>
      <c r="Y8" s="572"/>
      <c r="Z8" s="585"/>
    </row>
    <row r="9" spans="1:26">
      <c r="A9" s="569" t="s">
        <v>392</v>
      </c>
      <c r="B9" s="569" t="s">
        <v>393</v>
      </c>
      <c r="C9" s="569" t="s">
        <v>879</v>
      </c>
      <c r="D9" s="586" t="s">
        <v>394</v>
      </c>
      <c r="E9" s="587" t="s">
        <v>370</v>
      </c>
      <c r="F9" s="588" t="s">
        <v>979</v>
      </c>
      <c r="G9" s="588" t="s">
        <v>980</v>
      </c>
      <c r="H9" s="588" t="s">
        <v>981</v>
      </c>
      <c r="I9" s="588" t="s">
        <v>982</v>
      </c>
      <c r="J9" s="588" t="s">
        <v>983</v>
      </c>
      <c r="K9" s="588" t="s">
        <v>984</v>
      </c>
      <c r="L9" s="588" t="s">
        <v>985</v>
      </c>
      <c r="M9" s="588" t="s">
        <v>986</v>
      </c>
      <c r="N9" s="588" t="s">
        <v>987</v>
      </c>
      <c r="O9" s="588" t="s">
        <v>988</v>
      </c>
      <c r="P9" s="588" t="s">
        <v>989</v>
      </c>
      <c r="Q9" s="588" t="s">
        <v>990</v>
      </c>
      <c r="R9" s="588" t="s">
        <v>991</v>
      </c>
      <c r="S9" s="588" t="s">
        <v>1719</v>
      </c>
      <c r="T9" s="572"/>
      <c r="U9" s="589" t="s">
        <v>395</v>
      </c>
      <c r="V9" s="589" t="s">
        <v>396</v>
      </c>
      <c r="W9" s="589" t="s">
        <v>396</v>
      </c>
      <c r="X9" s="589" t="s">
        <v>395</v>
      </c>
      <c r="Y9" s="572"/>
      <c r="Z9" s="585"/>
    </row>
    <row r="10" spans="1:26">
      <c r="A10" s="590"/>
      <c r="B10" s="590"/>
      <c r="C10" s="591">
        <v>1</v>
      </c>
      <c r="D10" s="590"/>
      <c r="E10" s="590"/>
      <c r="F10" s="590"/>
      <c r="G10" s="590"/>
      <c r="H10" s="590"/>
      <c r="I10" s="590"/>
      <c r="J10" s="590"/>
      <c r="K10" s="590"/>
      <c r="L10" s="590"/>
      <c r="M10" s="590"/>
      <c r="N10" s="590"/>
      <c r="O10" s="590"/>
      <c r="P10" s="590"/>
      <c r="Q10" s="590"/>
      <c r="R10" s="590"/>
      <c r="S10" s="590"/>
      <c r="T10" s="590"/>
      <c r="U10" s="590"/>
      <c r="V10" s="590"/>
      <c r="W10" s="590"/>
      <c r="X10" s="590"/>
      <c r="Y10" s="572"/>
      <c r="Z10" s="585"/>
    </row>
    <row r="11" spans="1:26">
      <c r="A11" s="592" t="s">
        <v>397</v>
      </c>
      <c r="B11" s="592" t="s">
        <v>398</v>
      </c>
      <c r="C11" s="593">
        <v>2</v>
      </c>
      <c r="D11" s="594" t="str">
        <f>+A11</f>
        <v>1012</v>
      </c>
      <c r="E11" s="595" t="s">
        <v>399</v>
      </c>
      <c r="F11" s="596">
        <v>841287581.38</v>
      </c>
      <c r="G11" s="597">
        <v>844250997.01999998</v>
      </c>
      <c r="H11" s="598">
        <v>845780274.45000005</v>
      </c>
      <c r="I11" s="598">
        <v>850849571.23000002</v>
      </c>
      <c r="J11" s="599">
        <v>852735883.73000002</v>
      </c>
      <c r="K11" s="600">
        <v>855868544.54999995</v>
      </c>
      <c r="L11" s="601">
        <v>864307499.25999999</v>
      </c>
      <c r="M11" s="602">
        <v>868541029.21000004</v>
      </c>
      <c r="N11" s="603">
        <v>869411162.35000002</v>
      </c>
      <c r="O11" s="604">
        <v>875369750.46000004</v>
      </c>
      <c r="P11" s="605">
        <v>879842689.62</v>
      </c>
      <c r="Q11" s="606">
        <v>881539577.07000005</v>
      </c>
      <c r="R11" s="596">
        <v>889631646.78999996</v>
      </c>
      <c r="S11" s="598">
        <f>((F11+R11)+((G11+H11+I11+J11+K11+L11+M11+N11+O11+P11+Q11)*2))/24</f>
        <v>862829716.08624995</v>
      </c>
      <c r="T11" s="572"/>
      <c r="U11" s="572"/>
      <c r="V11" s="576">
        <f>S11</f>
        <v>862829716.08624995</v>
      </c>
      <c r="W11" s="572"/>
      <c r="X11" s="572"/>
      <c r="Y11" s="585"/>
      <c r="Z11" s="585"/>
    </row>
    <row r="12" spans="1:26">
      <c r="A12" s="592" t="s">
        <v>400</v>
      </c>
      <c r="B12" s="592" t="s">
        <v>398</v>
      </c>
      <c r="C12" s="593">
        <v>3</v>
      </c>
      <c r="D12" s="594" t="str">
        <f>+A12</f>
        <v>1062</v>
      </c>
      <c r="E12" s="595" t="s">
        <v>401</v>
      </c>
      <c r="F12" s="596">
        <v>28896553.829999998</v>
      </c>
      <c r="G12" s="597">
        <v>27565439.219999999</v>
      </c>
      <c r="H12" s="598">
        <v>27308385.52</v>
      </c>
      <c r="I12" s="598">
        <v>25405445.93</v>
      </c>
      <c r="J12" s="599">
        <v>26448610.5</v>
      </c>
      <c r="K12" s="600">
        <v>26356690.800000001</v>
      </c>
      <c r="L12" s="601">
        <v>20673671.899999999</v>
      </c>
      <c r="M12" s="602">
        <v>20158872.41</v>
      </c>
      <c r="N12" s="603">
        <v>31410364.16</v>
      </c>
      <c r="O12" s="604">
        <v>29294995.760000002</v>
      </c>
      <c r="P12" s="605">
        <v>31135493.359999999</v>
      </c>
      <c r="Q12" s="606">
        <v>31619119.32</v>
      </c>
      <c r="R12" s="596">
        <v>33062917.120000001</v>
      </c>
      <c r="S12" s="598">
        <f t="shared" ref="S12:S75" si="0">((F12+R12)+((G12+H12+I12+J12+K12+L12+M12+N12+O12+P12+Q12)*2))/24</f>
        <v>27363068.696249995</v>
      </c>
      <c r="T12" s="572"/>
      <c r="U12" s="572"/>
      <c r="V12" s="576">
        <f>S12</f>
        <v>27363068.696249995</v>
      </c>
      <c r="W12" s="572"/>
      <c r="X12" s="572"/>
      <c r="Y12" s="585"/>
      <c r="Z12" s="585"/>
    </row>
    <row r="13" spans="1:26">
      <c r="A13" s="592" t="s">
        <v>402</v>
      </c>
      <c r="B13" s="592" t="s">
        <v>398</v>
      </c>
      <c r="C13" s="593">
        <v>4</v>
      </c>
      <c r="D13" s="594" t="str">
        <f>A13&amp;"."&amp;B13</f>
        <v>@2:107.*</v>
      </c>
      <c r="E13" s="595" t="s">
        <v>403</v>
      </c>
      <c r="F13" s="596">
        <v>10555875.93</v>
      </c>
      <c r="G13" s="597">
        <v>9501126.4000000004</v>
      </c>
      <c r="H13" s="598">
        <v>10899019.84</v>
      </c>
      <c r="I13" s="598">
        <v>10951252.41</v>
      </c>
      <c r="J13" s="599">
        <v>11303827.66</v>
      </c>
      <c r="K13" s="600">
        <v>13181573.25</v>
      </c>
      <c r="L13" s="601">
        <v>17648079.600000001</v>
      </c>
      <c r="M13" s="602">
        <v>18641573.690000001</v>
      </c>
      <c r="N13" s="603">
        <v>9965389.1699999999</v>
      </c>
      <c r="O13" s="604">
        <v>10944845.09</v>
      </c>
      <c r="P13" s="605">
        <v>11645573.119999999</v>
      </c>
      <c r="Q13" s="606">
        <v>13934906.949999999</v>
      </c>
      <c r="R13" s="596">
        <v>12898869.82</v>
      </c>
      <c r="S13" s="598">
        <f t="shared" si="0"/>
        <v>12528711.671250001</v>
      </c>
      <c r="T13" s="572"/>
      <c r="U13" s="607"/>
      <c r="V13" s="607"/>
      <c r="W13" s="608">
        <f>S13</f>
        <v>12528711.671250001</v>
      </c>
      <c r="X13" s="607"/>
      <c r="Y13" s="585"/>
      <c r="Z13" s="585"/>
    </row>
    <row r="14" spans="1:26">
      <c r="A14" s="592"/>
      <c r="B14" s="592"/>
      <c r="C14" s="593">
        <v>5</v>
      </c>
      <c r="D14" s="594"/>
      <c r="E14" s="595"/>
      <c r="F14" s="609"/>
      <c r="G14" s="610"/>
      <c r="H14" s="611"/>
      <c r="I14" s="611"/>
      <c r="J14" s="612"/>
      <c r="K14" s="613"/>
      <c r="L14" s="614"/>
      <c r="M14" s="615"/>
      <c r="N14" s="616"/>
      <c r="O14" s="617"/>
      <c r="P14" s="618"/>
      <c r="Q14" s="619"/>
      <c r="R14" s="609"/>
      <c r="S14" s="598">
        <f t="shared" si="0"/>
        <v>0</v>
      </c>
      <c r="T14" s="572"/>
      <c r="U14" s="607"/>
      <c r="V14" s="607"/>
      <c r="W14" s="607"/>
      <c r="X14" s="607"/>
      <c r="Y14" s="585"/>
      <c r="Z14" s="585"/>
    </row>
    <row r="15" spans="1:26">
      <c r="A15" s="592"/>
      <c r="B15" s="592"/>
      <c r="C15" s="593">
        <v>6</v>
      </c>
      <c r="D15" s="594"/>
      <c r="E15" s="595" t="s">
        <v>404</v>
      </c>
      <c r="F15" s="620">
        <f>SUM(F11:F14)</f>
        <v>880740011.13999999</v>
      </c>
      <c r="G15" s="620">
        <f t="shared" ref="G15:S15" si="1">SUM(G11:G14)</f>
        <v>881317562.63999999</v>
      </c>
      <c r="H15" s="620">
        <f t="shared" si="1"/>
        <v>883987679.81000006</v>
      </c>
      <c r="I15" s="620">
        <f t="shared" si="1"/>
        <v>887206269.56999993</v>
      </c>
      <c r="J15" s="620">
        <f t="shared" si="1"/>
        <v>890488321.88999999</v>
      </c>
      <c r="K15" s="620">
        <f t="shared" si="1"/>
        <v>895406808.5999999</v>
      </c>
      <c r="L15" s="620">
        <f t="shared" si="1"/>
        <v>902629250.75999999</v>
      </c>
      <c r="M15" s="620">
        <f t="shared" si="1"/>
        <v>907341475.31000006</v>
      </c>
      <c r="N15" s="620">
        <f t="shared" si="1"/>
        <v>910786915.67999995</v>
      </c>
      <c r="O15" s="620">
        <f t="shared" si="1"/>
        <v>915609591.31000006</v>
      </c>
      <c r="P15" s="620">
        <f t="shared" si="1"/>
        <v>922623756.10000002</v>
      </c>
      <c r="Q15" s="620">
        <f t="shared" si="1"/>
        <v>927093603.34000015</v>
      </c>
      <c r="R15" s="620">
        <f t="shared" si="1"/>
        <v>935593433.73000002</v>
      </c>
      <c r="S15" s="620">
        <f t="shared" si="1"/>
        <v>902721496.4537499</v>
      </c>
      <c r="T15" s="572"/>
      <c r="U15" s="607"/>
      <c r="V15" s="607"/>
      <c r="W15" s="607"/>
      <c r="X15" s="607"/>
      <c r="Y15" s="585"/>
      <c r="Z15" s="585"/>
    </row>
    <row r="16" spans="1:26">
      <c r="A16" s="592"/>
      <c r="B16" s="592"/>
      <c r="C16" s="593">
        <v>7</v>
      </c>
      <c r="D16" s="594"/>
      <c r="E16" s="595"/>
      <c r="F16" s="609"/>
      <c r="G16" s="610"/>
      <c r="H16" s="611"/>
      <c r="I16" s="611"/>
      <c r="J16" s="612"/>
      <c r="K16" s="613"/>
      <c r="L16" s="614"/>
      <c r="M16" s="615"/>
      <c r="N16" s="616"/>
      <c r="O16" s="617"/>
      <c r="P16" s="618"/>
      <c r="Q16" s="619"/>
      <c r="R16" s="609"/>
      <c r="S16" s="598">
        <f t="shared" si="0"/>
        <v>0</v>
      </c>
      <c r="T16" s="572"/>
      <c r="U16" s="607"/>
      <c r="V16" s="607"/>
      <c r="W16" s="607"/>
      <c r="X16" s="607"/>
      <c r="Y16" s="585"/>
      <c r="Z16" s="585"/>
    </row>
    <row r="17" spans="1:26">
      <c r="A17" s="592" t="s">
        <v>405</v>
      </c>
      <c r="B17" s="592" t="s">
        <v>406</v>
      </c>
      <c r="C17" s="593">
        <v>8</v>
      </c>
      <c r="D17" s="594" t="str">
        <f>A17&amp;"."&amp;B17</f>
        <v>1082.8</v>
      </c>
      <c r="E17" s="621" t="s">
        <v>407</v>
      </c>
      <c r="F17" s="622">
        <v>686205.96</v>
      </c>
      <c r="G17" s="623">
        <v>829635.6</v>
      </c>
      <c r="H17" s="598">
        <v>771254.68</v>
      </c>
      <c r="I17" s="598">
        <v>524465.69999999995</v>
      </c>
      <c r="J17" s="622">
        <v>698101.21</v>
      </c>
      <c r="K17" s="622">
        <v>830365.63</v>
      </c>
      <c r="L17" s="622">
        <v>887437.96</v>
      </c>
      <c r="M17" s="622">
        <v>780282.77</v>
      </c>
      <c r="N17" s="622">
        <v>1016342.45</v>
      </c>
      <c r="O17" s="624">
        <v>906028.11</v>
      </c>
      <c r="P17" s="622">
        <v>908236.76</v>
      </c>
      <c r="Q17" s="622">
        <v>933863.07</v>
      </c>
      <c r="R17" s="622">
        <v>991503.47</v>
      </c>
      <c r="S17" s="598">
        <f t="shared" si="0"/>
        <v>827072.38791666657</v>
      </c>
      <c r="T17" s="572"/>
      <c r="U17" s="607"/>
      <c r="V17" s="607"/>
      <c r="W17" s="607"/>
      <c r="X17" s="607"/>
      <c r="Y17" s="585"/>
      <c r="Z17" s="585"/>
    </row>
    <row r="18" spans="1:26">
      <c r="A18" s="592" t="s">
        <v>405</v>
      </c>
      <c r="B18" s="592" t="s">
        <v>408</v>
      </c>
      <c r="C18" s="593">
        <v>9</v>
      </c>
      <c r="D18" s="594" t="str">
        <f>+A18</f>
        <v>1082</v>
      </c>
      <c r="E18" s="595" t="s">
        <v>409</v>
      </c>
      <c r="F18" s="596">
        <v>-297303622.94999999</v>
      </c>
      <c r="G18" s="597">
        <v>-298329288.63</v>
      </c>
      <c r="H18" s="598">
        <v>-299555161.89999998</v>
      </c>
      <c r="I18" s="598">
        <v>-300533506.98000002</v>
      </c>
      <c r="J18" s="599">
        <v>-301818176.24000001</v>
      </c>
      <c r="K18" s="600">
        <v>-303247549.05000001</v>
      </c>
      <c r="L18" s="601">
        <v>-304208502.81</v>
      </c>
      <c r="M18" s="602">
        <v>-305547368.5</v>
      </c>
      <c r="N18" s="603">
        <v>-306922056.56</v>
      </c>
      <c r="O18" s="604">
        <v>-308090549.82999998</v>
      </c>
      <c r="P18" s="605">
        <v>-309380893.37</v>
      </c>
      <c r="Q18" s="606">
        <v>-310725873.72000003</v>
      </c>
      <c r="R18" s="596">
        <v>-310640427.29000002</v>
      </c>
      <c r="S18" s="598">
        <f t="shared" si="0"/>
        <v>-304360912.72583336</v>
      </c>
      <c r="T18" s="572"/>
      <c r="U18" s="607"/>
      <c r="V18" s="607"/>
      <c r="W18" s="607"/>
      <c r="X18" s="607"/>
      <c r="Y18" s="585"/>
      <c r="Z18" s="585"/>
    </row>
    <row r="19" spans="1:26">
      <c r="A19" s="592" t="s">
        <v>410</v>
      </c>
      <c r="B19" s="592" t="s">
        <v>398</v>
      </c>
      <c r="C19" s="593">
        <v>10</v>
      </c>
      <c r="D19" s="594" t="str">
        <f>+A19</f>
        <v>1112</v>
      </c>
      <c r="E19" s="595" t="s">
        <v>411</v>
      </c>
      <c r="F19" s="625">
        <v>-8070827.1500000004</v>
      </c>
      <c r="G19" s="626">
        <v>-8314228.7599999998</v>
      </c>
      <c r="H19" s="627">
        <v>-8560523.9900000002</v>
      </c>
      <c r="I19" s="627">
        <v>-8770158.4000000004</v>
      </c>
      <c r="J19" s="628">
        <v>-9007056.4499999993</v>
      </c>
      <c r="K19" s="629">
        <v>-9243688.6899999995</v>
      </c>
      <c r="L19" s="630">
        <v>-9480361.2899999991</v>
      </c>
      <c r="M19" s="631">
        <v>-9701458.4700000007</v>
      </c>
      <c r="N19" s="632">
        <v>-9922555.6500000004</v>
      </c>
      <c r="O19" s="633">
        <v>-10143652.83</v>
      </c>
      <c r="P19" s="634">
        <v>-10365313.029999999</v>
      </c>
      <c r="Q19" s="635">
        <v>-10586166.609999999</v>
      </c>
      <c r="R19" s="625">
        <v>-10807311.550000001</v>
      </c>
      <c r="S19" s="598">
        <f t="shared" si="0"/>
        <v>-9461186.1266666651</v>
      </c>
      <c r="T19" s="572"/>
      <c r="U19" s="607"/>
      <c r="V19" s="607"/>
      <c r="W19" s="607"/>
      <c r="X19" s="607"/>
      <c r="Y19" s="585"/>
      <c r="Z19" s="585"/>
    </row>
    <row r="20" spans="1:26">
      <c r="A20" s="592" t="s">
        <v>412</v>
      </c>
      <c r="B20" s="592" t="s">
        <v>398</v>
      </c>
      <c r="C20" s="593">
        <v>11</v>
      </c>
      <c r="D20" s="592" t="str">
        <f>+A20</f>
        <v>1152</v>
      </c>
      <c r="E20" s="595" t="s">
        <v>413</v>
      </c>
      <c r="F20" s="636">
        <v>0</v>
      </c>
      <c r="G20" s="637">
        <v>0</v>
      </c>
      <c r="H20" s="638">
        <v>0</v>
      </c>
      <c r="I20" s="638">
        <v>0</v>
      </c>
      <c r="J20" s="639">
        <v>0</v>
      </c>
      <c r="K20" s="640">
        <v>0</v>
      </c>
      <c r="L20" s="641">
        <v>0</v>
      </c>
      <c r="M20" s="642">
        <v>0</v>
      </c>
      <c r="N20" s="643">
        <v>0</v>
      </c>
      <c r="O20" s="644">
        <v>0</v>
      </c>
      <c r="P20" s="645">
        <v>0</v>
      </c>
      <c r="Q20" s="646">
        <v>0</v>
      </c>
      <c r="R20" s="636">
        <v>0</v>
      </c>
      <c r="S20" s="598">
        <f t="shared" si="0"/>
        <v>0</v>
      </c>
      <c r="T20" s="572"/>
      <c r="U20" s="607"/>
      <c r="V20" s="607"/>
      <c r="W20" s="607"/>
      <c r="X20" s="607"/>
      <c r="Y20" s="585"/>
      <c r="Z20" s="585"/>
    </row>
    <row r="21" spans="1:26">
      <c r="A21" s="592"/>
      <c r="B21" s="592"/>
      <c r="C21" s="593">
        <v>12</v>
      </c>
      <c r="D21" s="594"/>
      <c r="E21" s="595" t="s">
        <v>414</v>
      </c>
      <c r="F21" s="647">
        <f>SUM(F17:F20)</f>
        <v>-304688244.13999999</v>
      </c>
      <c r="G21" s="647">
        <f t="shared" ref="G21:S21" si="2">SUM(G17:G20)</f>
        <v>-305813881.78999996</v>
      </c>
      <c r="H21" s="647">
        <f t="shared" si="2"/>
        <v>-307344431.20999998</v>
      </c>
      <c r="I21" s="647">
        <f t="shared" si="2"/>
        <v>-308779199.68000001</v>
      </c>
      <c r="J21" s="647">
        <f t="shared" si="2"/>
        <v>-310127131.48000002</v>
      </c>
      <c r="K21" s="647">
        <f t="shared" si="2"/>
        <v>-311660872.11000001</v>
      </c>
      <c r="L21" s="647">
        <f t="shared" si="2"/>
        <v>-312801426.14000005</v>
      </c>
      <c r="M21" s="647">
        <f t="shared" si="2"/>
        <v>-314468544.20000005</v>
      </c>
      <c r="N21" s="647">
        <f t="shared" si="2"/>
        <v>-315828269.75999999</v>
      </c>
      <c r="O21" s="647">
        <f t="shared" si="2"/>
        <v>-317328174.54999995</v>
      </c>
      <c r="P21" s="647">
        <f t="shared" si="2"/>
        <v>-318837969.63999999</v>
      </c>
      <c r="Q21" s="647">
        <f t="shared" si="2"/>
        <v>-320378177.26000005</v>
      </c>
      <c r="R21" s="647">
        <f t="shared" si="2"/>
        <v>-320456235.37</v>
      </c>
      <c r="S21" s="647">
        <f t="shared" si="2"/>
        <v>-312995026.46458334</v>
      </c>
      <c r="T21" s="572"/>
      <c r="U21" s="607"/>
      <c r="V21" s="608"/>
      <c r="W21" s="607"/>
      <c r="X21" s="607"/>
      <c r="Y21" s="585"/>
      <c r="Z21" s="585"/>
    </row>
    <row r="22" spans="1:26">
      <c r="A22" s="592"/>
      <c r="B22" s="592"/>
      <c r="C22" s="593">
        <v>13</v>
      </c>
      <c r="D22" s="594"/>
      <c r="E22" s="595"/>
      <c r="F22" s="609"/>
      <c r="G22" s="610"/>
      <c r="H22" s="611"/>
      <c r="I22" s="611"/>
      <c r="J22" s="612"/>
      <c r="K22" s="613"/>
      <c r="L22" s="614"/>
      <c r="M22" s="615"/>
      <c r="N22" s="616"/>
      <c r="O22" s="617"/>
      <c r="P22" s="618"/>
      <c r="Q22" s="619"/>
      <c r="R22" s="609"/>
      <c r="S22" s="598">
        <f t="shared" si="0"/>
        <v>0</v>
      </c>
      <c r="T22" s="572"/>
      <c r="U22" s="607"/>
      <c r="V22" s="607"/>
      <c r="W22" s="607"/>
      <c r="X22" s="607"/>
      <c r="Y22" s="585"/>
      <c r="Z22" s="585"/>
    </row>
    <row r="23" spans="1:26">
      <c r="A23" s="592" t="s">
        <v>415</v>
      </c>
      <c r="B23" s="592" t="s">
        <v>398</v>
      </c>
      <c r="C23" s="593">
        <v>14</v>
      </c>
      <c r="D23" s="594" t="str">
        <f>+A23</f>
        <v>1087</v>
      </c>
      <c r="E23" s="595" t="s">
        <v>416</v>
      </c>
      <c r="F23" s="596">
        <v>-3106488.9199999701</v>
      </c>
      <c r="G23" s="597">
        <v>-3114831.04</v>
      </c>
      <c r="H23" s="598">
        <v>-3129854.48</v>
      </c>
      <c r="I23" s="598">
        <v>-3101719.66</v>
      </c>
      <c r="J23" s="599">
        <v>-3114986.65</v>
      </c>
      <c r="K23" s="600">
        <v>-3126477.53</v>
      </c>
      <c r="L23" s="601">
        <v>-3141437.98</v>
      </c>
      <c r="M23" s="602">
        <v>-3157143.28</v>
      </c>
      <c r="N23" s="603">
        <v>-3164800.94</v>
      </c>
      <c r="O23" s="604">
        <v>-3176368.87</v>
      </c>
      <c r="P23" s="605">
        <v>-3178448.47</v>
      </c>
      <c r="Q23" s="606">
        <v>-3184113.82</v>
      </c>
      <c r="R23" s="596">
        <v>-3251382.2</v>
      </c>
      <c r="S23" s="598">
        <f t="shared" si="0"/>
        <v>-3147426.523333332</v>
      </c>
      <c r="T23" s="572"/>
      <c r="U23" s="607"/>
      <c r="V23" s="607"/>
      <c r="W23" s="607"/>
      <c r="X23" s="607"/>
      <c r="Y23" s="585"/>
      <c r="Z23" s="585"/>
    </row>
    <row r="24" spans="1:26">
      <c r="A24" s="592" t="s">
        <v>992</v>
      </c>
      <c r="B24" s="592" t="s">
        <v>398</v>
      </c>
      <c r="C24" s="593">
        <v>15</v>
      </c>
      <c r="D24" s="594" t="str">
        <f>+A24</f>
        <v>1088</v>
      </c>
      <c r="E24" s="596" t="s">
        <v>993</v>
      </c>
      <c r="F24" s="596">
        <v>-124586801</v>
      </c>
      <c r="G24" s="597">
        <v>-124938981.86</v>
      </c>
      <c r="H24" s="598">
        <v>-125253035.84999999</v>
      </c>
      <c r="I24" s="598">
        <v>-125305836.09999999</v>
      </c>
      <c r="J24" s="599">
        <v>-125700569.34</v>
      </c>
      <c r="K24" s="600">
        <v>-126092534.17</v>
      </c>
      <c r="L24" s="601">
        <v>-126397292.31</v>
      </c>
      <c r="M24" s="602">
        <v>-126779418.34</v>
      </c>
      <c r="N24" s="603">
        <v>-127152785.67</v>
      </c>
      <c r="O24" s="604">
        <v>-127377044.70999999</v>
      </c>
      <c r="P24" s="605">
        <v>-127747360.28</v>
      </c>
      <c r="Q24" s="606">
        <v>-128065696.11</v>
      </c>
      <c r="R24" s="596">
        <v>-129636963.91</v>
      </c>
      <c r="S24" s="598">
        <f t="shared" si="0"/>
        <v>-126493536.43291664</v>
      </c>
      <c r="T24" s="572"/>
      <c r="U24" s="607"/>
      <c r="V24" s="607"/>
      <c r="W24" s="607"/>
      <c r="X24" s="607"/>
      <c r="Y24" s="585"/>
      <c r="Z24" s="585"/>
    </row>
    <row r="25" spans="1:26">
      <c r="A25" s="592"/>
      <c r="B25" s="592"/>
      <c r="C25" s="593">
        <v>16</v>
      </c>
      <c r="D25" s="594"/>
      <c r="E25" s="595" t="s">
        <v>417</v>
      </c>
      <c r="F25" s="648">
        <f>+F23+F24</f>
        <v>-127693289.91999997</v>
      </c>
      <c r="G25" s="648">
        <f t="shared" ref="G25:S25" si="3">+G23+G24</f>
        <v>-128053812.90000001</v>
      </c>
      <c r="H25" s="648">
        <f t="shared" si="3"/>
        <v>-128382890.33</v>
      </c>
      <c r="I25" s="648">
        <f t="shared" si="3"/>
        <v>-128407555.75999999</v>
      </c>
      <c r="J25" s="648">
        <f t="shared" si="3"/>
        <v>-128815555.99000001</v>
      </c>
      <c r="K25" s="648">
        <f t="shared" si="3"/>
        <v>-129219011.7</v>
      </c>
      <c r="L25" s="648">
        <f t="shared" si="3"/>
        <v>-129538730.29000001</v>
      </c>
      <c r="M25" s="648">
        <f t="shared" si="3"/>
        <v>-129936561.62</v>
      </c>
      <c r="N25" s="648">
        <f t="shared" si="3"/>
        <v>-130317586.61</v>
      </c>
      <c r="O25" s="648">
        <f t="shared" si="3"/>
        <v>-130553413.58</v>
      </c>
      <c r="P25" s="648">
        <f t="shared" si="3"/>
        <v>-130925808.75</v>
      </c>
      <c r="Q25" s="648">
        <f t="shared" si="3"/>
        <v>-131249809.92999999</v>
      </c>
      <c r="R25" s="648">
        <f t="shared" si="3"/>
        <v>-132888346.11</v>
      </c>
      <c r="S25" s="648">
        <f t="shared" si="3"/>
        <v>-129640962.95624997</v>
      </c>
      <c r="T25" s="572"/>
      <c r="U25" s="607"/>
      <c r="V25" s="607"/>
      <c r="W25" s="607"/>
      <c r="X25" s="607"/>
      <c r="Y25" s="585"/>
      <c r="Z25" s="585"/>
    </row>
    <row r="26" spans="1:26">
      <c r="A26" s="592"/>
      <c r="B26" s="592"/>
      <c r="C26" s="593">
        <v>17</v>
      </c>
      <c r="D26" s="594"/>
      <c r="E26" s="595"/>
      <c r="F26" s="609"/>
      <c r="G26" s="610"/>
      <c r="H26" s="611"/>
      <c r="I26" s="611"/>
      <c r="J26" s="612"/>
      <c r="K26" s="613"/>
      <c r="L26" s="614"/>
      <c r="M26" s="615"/>
      <c r="N26" s="616"/>
      <c r="O26" s="617"/>
      <c r="P26" s="618"/>
      <c r="Q26" s="619"/>
      <c r="R26" s="609"/>
      <c r="S26" s="598">
        <f t="shared" si="0"/>
        <v>0</v>
      </c>
      <c r="T26" s="572"/>
      <c r="U26" s="607"/>
      <c r="V26" s="607"/>
      <c r="W26" s="607"/>
      <c r="X26" s="607"/>
      <c r="Y26" s="585"/>
      <c r="Z26" s="585"/>
    </row>
    <row r="27" spans="1:26">
      <c r="A27" s="592"/>
      <c r="B27" s="592"/>
      <c r="C27" s="593">
        <v>18</v>
      </c>
      <c r="D27" s="594"/>
      <c r="E27" s="595" t="s">
        <v>418</v>
      </c>
      <c r="F27" s="649">
        <f>+F25+F21</f>
        <v>-432381534.05999994</v>
      </c>
      <c r="G27" s="649">
        <f t="shared" ref="G27:S27" si="4">+G25+G21</f>
        <v>-433867694.68999994</v>
      </c>
      <c r="H27" s="649">
        <f t="shared" si="4"/>
        <v>-435727321.53999996</v>
      </c>
      <c r="I27" s="649">
        <f t="shared" si="4"/>
        <v>-437186755.44</v>
      </c>
      <c r="J27" s="649">
        <f t="shared" si="4"/>
        <v>-438942687.47000003</v>
      </c>
      <c r="K27" s="649">
        <f t="shared" si="4"/>
        <v>-440879883.81</v>
      </c>
      <c r="L27" s="649">
        <f t="shared" si="4"/>
        <v>-442340156.43000007</v>
      </c>
      <c r="M27" s="649">
        <f t="shared" si="4"/>
        <v>-444405105.82000005</v>
      </c>
      <c r="N27" s="649">
        <f t="shared" si="4"/>
        <v>-446145856.37</v>
      </c>
      <c r="O27" s="649">
        <f t="shared" si="4"/>
        <v>-447881588.12999994</v>
      </c>
      <c r="P27" s="649">
        <f t="shared" si="4"/>
        <v>-449763778.38999999</v>
      </c>
      <c r="Q27" s="649">
        <f t="shared" si="4"/>
        <v>-451627987.19000006</v>
      </c>
      <c r="R27" s="649">
        <f t="shared" si="4"/>
        <v>-453344581.48000002</v>
      </c>
      <c r="S27" s="649">
        <f t="shared" si="4"/>
        <v>-442635989.42083329</v>
      </c>
      <c r="T27" s="572"/>
      <c r="U27" s="607"/>
      <c r="V27" s="608">
        <f>S27</f>
        <v>-442635989.42083329</v>
      </c>
      <c r="W27" s="607"/>
      <c r="X27" s="607"/>
      <c r="Y27" s="585"/>
      <c r="Z27" s="585"/>
    </row>
    <row r="28" spans="1:26">
      <c r="A28" s="592"/>
      <c r="B28" s="592"/>
      <c r="C28" s="593">
        <v>19</v>
      </c>
      <c r="D28" s="594"/>
      <c r="E28" s="650"/>
      <c r="F28" s="651"/>
      <c r="G28" s="652"/>
      <c r="H28" s="653"/>
      <c r="I28" s="653"/>
      <c r="J28" s="654"/>
      <c r="K28" s="655"/>
      <c r="L28" s="656"/>
      <c r="M28" s="657"/>
      <c r="N28" s="658"/>
      <c r="O28" s="659"/>
      <c r="P28" s="660"/>
      <c r="Q28" s="661"/>
      <c r="R28" s="651"/>
      <c r="S28" s="598">
        <f t="shared" si="0"/>
        <v>0</v>
      </c>
      <c r="T28" s="572"/>
      <c r="U28" s="607"/>
      <c r="V28" s="607"/>
      <c r="W28" s="607"/>
      <c r="X28" s="607"/>
      <c r="Y28" s="585"/>
      <c r="Z28" s="585"/>
    </row>
    <row r="29" spans="1:26">
      <c r="A29" s="592"/>
      <c r="B29" s="592"/>
      <c r="C29" s="593">
        <v>20</v>
      </c>
      <c r="D29" s="594"/>
      <c r="E29" s="650" t="s">
        <v>419</v>
      </c>
      <c r="F29" s="662">
        <f>+F15+F27</f>
        <v>448358477.08000004</v>
      </c>
      <c r="G29" s="662">
        <f t="shared" ref="G29:S29" si="5">+G15+G27</f>
        <v>447449867.95000005</v>
      </c>
      <c r="H29" s="662">
        <f t="shared" si="5"/>
        <v>448260358.2700001</v>
      </c>
      <c r="I29" s="662">
        <f t="shared" si="5"/>
        <v>450019514.12999994</v>
      </c>
      <c r="J29" s="662">
        <f t="shared" si="5"/>
        <v>451545634.41999996</v>
      </c>
      <c r="K29" s="662">
        <f t="shared" si="5"/>
        <v>454526924.7899999</v>
      </c>
      <c r="L29" s="662">
        <f t="shared" si="5"/>
        <v>460289094.32999992</v>
      </c>
      <c r="M29" s="662">
        <f t="shared" si="5"/>
        <v>462936369.49000001</v>
      </c>
      <c r="N29" s="662">
        <f t="shared" si="5"/>
        <v>464641059.30999994</v>
      </c>
      <c r="O29" s="662">
        <f t="shared" si="5"/>
        <v>467728003.18000013</v>
      </c>
      <c r="P29" s="662">
        <f t="shared" si="5"/>
        <v>472859977.71000004</v>
      </c>
      <c r="Q29" s="662">
        <f t="shared" si="5"/>
        <v>475465616.1500001</v>
      </c>
      <c r="R29" s="662">
        <f t="shared" si="5"/>
        <v>482248852.25</v>
      </c>
      <c r="S29" s="662">
        <f t="shared" si="5"/>
        <v>460085507.03291661</v>
      </c>
      <c r="T29" s="572"/>
      <c r="U29" s="607"/>
      <c r="V29" s="607"/>
      <c r="W29" s="607"/>
      <c r="X29" s="607"/>
      <c r="Y29" s="585"/>
      <c r="Z29" s="585"/>
    </row>
    <row r="30" spans="1:26">
      <c r="A30" s="592"/>
      <c r="B30" s="592"/>
      <c r="C30" s="593">
        <v>21</v>
      </c>
      <c r="D30" s="594"/>
      <c r="E30" s="650"/>
      <c r="F30" s="609"/>
      <c r="G30" s="610"/>
      <c r="H30" s="611"/>
      <c r="I30" s="611"/>
      <c r="J30" s="612"/>
      <c r="K30" s="613"/>
      <c r="L30" s="614"/>
      <c r="M30" s="615"/>
      <c r="N30" s="616"/>
      <c r="O30" s="617"/>
      <c r="P30" s="618"/>
      <c r="Q30" s="619"/>
      <c r="R30" s="609"/>
      <c r="S30" s="598">
        <f t="shared" si="0"/>
        <v>0</v>
      </c>
      <c r="T30" s="572"/>
      <c r="U30" s="607"/>
      <c r="V30" s="607"/>
      <c r="W30" s="607"/>
      <c r="X30" s="607"/>
      <c r="Y30" s="585"/>
      <c r="Z30" s="585"/>
    </row>
    <row r="31" spans="1:26">
      <c r="A31" s="592" t="s">
        <v>420</v>
      </c>
      <c r="B31" s="592" t="s">
        <v>398</v>
      </c>
      <c r="C31" s="593">
        <v>22</v>
      </c>
      <c r="D31" s="594" t="str">
        <f>+A31</f>
        <v>1231</v>
      </c>
      <c r="E31" s="595" t="s">
        <v>421</v>
      </c>
      <c r="F31" s="596">
        <v>0</v>
      </c>
      <c r="G31" s="597">
        <v>0</v>
      </c>
      <c r="H31" s="598">
        <v>0</v>
      </c>
      <c r="I31" s="598">
        <v>0</v>
      </c>
      <c r="J31" s="599">
        <v>0</v>
      </c>
      <c r="K31" s="600">
        <v>0</v>
      </c>
      <c r="L31" s="601">
        <v>0</v>
      </c>
      <c r="M31" s="602">
        <v>0</v>
      </c>
      <c r="N31" s="603">
        <v>0</v>
      </c>
      <c r="O31" s="604">
        <v>0</v>
      </c>
      <c r="P31" s="605">
        <v>0</v>
      </c>
      <c r="Q31" s="606">
        <v>0</v>
      </c>
      <c r="R31" s="596">
        <v>0</v>
      </c>
      <c r="S31" s="598">
        <f t="shared" si="0"/>
        <v>0</v>
      </c>
      <c r="T31" s="572"/>
      <c r="U31" s="607"/>
      <c r="V31" s="607"/>
      <c r="W31" s="607"/>
      <c r="X31" s="607"/>
      <c r="Y31" s="585"/>
      <c r="Z31" s="585"/>
    </row>
    <row r="32" spans="1:26">
      <c r="A32" s="592"/>
      <c r="B32" s="592"/>
      <c r="C32" s="593">
        <v>23</v>
      </c>
      <c r="D32" s="594"/>
      <c r="E32" s="650"/>
      <c r="F32" s="609"/>
      <c r="G32" s="610"/>
      <c r="H32" s="611"/>
      <c r="I32" s="611"/>
      <c r="J32" s="612"/>
      <c r="K32" s="613"/>
      <c r="L32" s="614"/>
      <c r="M32" s="615"/>
      <c r="N32" s="616"/>
      <c r="O32" s="617"/>
      <c r="P32" s="618"/>
      <c r="Q32" s="619"/>
      <c r="R32" s="609"/>
      <c r="S32" s="598">
        <f t="shared" si="0"/>
        <v>0</v>
      </c>
      <c r="T32" s="572"/>
      <c r="U32" s="607"/>
      <c r="V32" s="607"/>
      <c r="W32" s="607"/>
      <c r="X32" s="607"/>
      <c r="Y32" s="585"/>
      <c r="Z32" s="585"/>
    </row>
    <row r="33" spans="1:26">
      <c r="A33" s="592"/>
      <c r="B33" s="592"/>
      <c r="C33" s="593">
        <v>24</v>
      </c>
      <c r="D33" s="594"/>
      <c r="E33" s="650" t="s">
        <v>422</v>
      </c>
      <c r="F33" s="620">
        <f>+F31</f>
        <v>0</v>
      </c>
      <c r="G33" s="663">
        <v>0</v>
      </c>
      <c r="H33" s="664">
        <v>0</v>
      </c>
      <c r="I33" s="664">
        <v>0</v>
      </c>
      <c r="J33" s="665">
        <v>0</v>
      </c>
      <c r="K33" s="666">
        <v>0</v>
      </c>
      <c r="L33" s="667">
        <v>0</v>
      </c>
      <c r="M33" s="668">
        <v>0</v>
      </c>
      <c r="N33" s="669">
        <v>0</v>
      </c>
      <c r="O33" s="670">
        <v>0</v>
      </c>
      <c r="P33" s="671">
        <v>0</v>
      </c>
      <c r="Q33" s="672">
        <v>0</v>
      </c>
      <c r="R33" s="620">
        <v>0</v>
      </c>
      <c r="S33" s="598">
        <f t="shared" si="0"/>
        <v>0</v>
      </c>
      <c r="T33" s="572"/>
      <c r="U33" s="607"/>
      <c r="V33" s="607"/>
      <c r="W33" s="607"/>
      <c r="X33" s="607"/>
      <c r="Y33" s="585"/>
      <c r="Z33" s="585"/>
    </row>
    <row r="34" spans="1:26">
      <c r="A34" s="592"/>
      <c r="B34" s="592"/>
      <c r="C34" s="593">
        <v>25</v>
      </c>
      <c r="D34" s="594"/>
      <c r="E34" s="650"/>
      <c r="F34" s="596"/>
      <c r="G34" s="597"/>
      <c r="H34" s="598"/>
      <c r="I34" s="598"/>
      <c r="J34" s="599"/>
      <c r="K34" s="600"/>
      <c r="L34" s="601"/>
      <c r="M34" s="602"/>
      <c r="N34" s="603"/>
      <c r="O34" s="604"/>
      <c r="P34" s="605"/>
      <c r="Q34" s="606"/>
      <c r="R34" s="596"/>
      <c r="S34" s="598">
        <f t="shared" si="0"/>
        <v>0</v>
      </c>
      <c r="T34" s="572"/>
      <c r="U34" s="607"/>
      <c r="V34" s="607"/>
      <c r="W34" s="607"/>
      <c r="X34" s="607"/>
      <c r="Y34" s="585"/>
      <c r="Z34" s="585"/>
    </row>
    <row r="35" spans="1:26">
      <c r="A35" s="592" t="s">
        <v>423</v>
      </c>
      <c r="B35" s="592" t="s">
        <v>398</v>
      </c>
      <c r="C35" s="593">
        <v>26</v>
      </c>
      <c r="D35" s="594" t="s">
        <v>424</v>
      </c>
      <c r="E35" s="595" t="s">
        <v>425</v>
      </c>
      <c r="F35" s="596">
        <v>10440344.33</v>
      </c>
      <c r="G35" s="597">
        <v>10405591.74</v>
      </c>
      <c r="H35" s="598">
        <v>10429989.75</v>
      </c>
      <c r="I35" s="598">
        <v>10572999.300000001</v>
      </c>
      <c r="J35" s="599">
        <v>10589120.779999999</v>
      </c>
      <c r="K35" s="600">
        <v>10617181.02</v>
      </c>
      <c r="L35" s="601">
        <v>10713771.609999999</v>
      </c>
      <c r="M35" s="602">
        <v>10797331.810000001</v>
      </c>
      <c r="N35" s="603">
        <v>10792682.289999999</v>
      </c>
      <c r="O35" s="604">
        <v>10946112.279999999</v>
      </c>
      <c r="P35" s="605">
        <v>10858631.279999999</v>
      </c>
      <c r="Q35" s="606">
        <v>10843104.140000001</v>
      </c>
      <c r="R35" s="596">
        <v>10932832.17</v>
      </c>
      <c r="S35" s="598">
        <f t="shared" si="0"/>
        <v>10687758.687500002</v>
      </c>
      <c r="T35" s="572"/>
      <c r="U35" s="607"/>
      <c r="V35" s="607"/>
      <c r="W35" s="608">
        <f>S35</f>
        <v>10687758.687500002</v>
      </c>
      <c r="X35" s="608"/>
      <c r="Y35" s="585"/>
      <c r="Z35" s="585"/>
    </row>
    <row r="36" spans="1:26">
      <c r="A36" s="592" t="s">
        <v>426</v>
      </c>
      <c r="B36" s="592" t="s">
        <v>398</v>
      </c>
      <c r="C36" s="593">
        <v>27</v>
      </c>
      <c r="D36" s="594" t="str">
        <f>+A36</f>
        <v>1210</v>
      </c>
      <c r="E36" s="595" t="s">
        <v>427</v>
      </c>
      <c r="F36" s="596">
        <v>202030.18</v>
      </c>
      <c r="G36" s="597">
        <v>202030.18</v>
      </c>
      <c r="H36" s="598">
        <v>202030.18</v>
      </c>
      <c r="I36" s="598">
        <v>202030.18</v>
      </c>
      <c r="J36" s="599">
        <v>202030.18</v>
      </c>
      <c r="K36" s="600">
        <v>202030.18</v>
      </c>
      <c r="L36" s="601">
        <v>202030.18</v>
      </c>
      <c r="M36" s="602">
        <v>202030.18</v>
      </c>
      <c r="N36" s="603">
        <v>202030.18</v>
      </c>
      <c r="O36" s="604">
        <v>202030.18</v>
      </c>
      <c r="P36" s="605">
        <v>202030.18</v>
      </c>
      <c r="Q36" s="606">
        <v>202030.18</v>
      </c>
      <c r="R36" s="596">
        <v>202030.18</v>
      </c>
      <c r="S36" s="598">
        <f t="shared" si="0"/>
        <v>202030.17999999996</v>
      </c>
      <c r="T36" s="572"/>
      <c r="U36" s="607"/>
      <c r="V36" s="607"/>
      <c r="W36" s="608">
        <f>S36</f>
        <v>202030.17999999996</v>
      </c>
      <c r="X36" s="607"/>
      <c r="Y36" s="585"/>
      <c r="Z36" s="585"/>
    </row>
    <row r="37" spans="1:26">
      <c r="A37" s="592" t="s">
        <v>428</v>
      </c>
      <c r="B37" s="592" t="s">
        <v>398</v>
      </c>
      <c r="C37" s="593">
        <v>28</v>
      </c>
      <c r="D37" s="594" t="str">
        <f>+A37</f>
        <v>1220</v>
      </c>
      <c r="E37" s="595" t="s">
        <v>429</v>
      </c>
      <c r="F37" s="596">
        <v>0</v>
      </c>
      <c r="G37" s="597">
        <v>0</v>
      </c>
      <c r="H37" s="598">
        <v>0</v>
      </c>
      <c r="I37" s="598">
        <v>0</v>
      </c>
      <c r="J37" s="599">
        <v>0</v>
      </c>
      <c r="K37" s="600">
        <v>0</v>
      </c>
      <c r="L37" s="601">
        <v>0</v>
      </c>
      <c r="M37" s="602">
        <v>0</v>
      </c>
      <c r="N37" s="603">
        <v>0</v>
      </c>
      <c r="O37" s="604">
        <v>0</v>
      </c>
      <c r="P37" s="605">
        <v>0</v>
      </c>
      <c r="Q37" s="606">
        <v>0</v>
      </c>
      <c r="R37" s="596">
        <v>0</v>
      </c>
      <c r="S37" s="598">
        <f t="shared" si="0"/>
        <v>0</v>
      </c>
      <c r="T37" s="572"/>
      <c r="U37" s="607"/>
      <c r="V37" s="607"/>
      <c r="W37" s="607"/>
      <c r="X37" s="607"/>
      <c r="Y37" s="585"/>
      <c r="Z37" s="585"/>
    </row>
    <row r="38" spans="1:26">
      <c r="A38" s="592"/>
      <c r="B38" s="592"/>
      <c r="C38" s="593">
        <v>29</v>
      </c>
      <c r="D38" s="594"/>
      <c r="E38" s="650"/>
      <c r="F38" s="609"/>
      <c r="G38" s="610"/>
      <c r="H38" s="611"/>
      <c r="I38" s="611"/>
      <c r="J38" s="612"/>
      <c r="K38" s="613"/>
      <c r="L38" s="614"/>
      <c r="M38" s="615"/>
      <c r="N38" s="616"/>
      <c r="O38" s="617"/>
      <c r="P38" s="618"/>
      <c r="Q38" s="619"/>
      <c r="R38" s="609"/>
      <c r="S38" s="598">
        <f t="shared" si="0"/>
        <v>0</v>
      </c>
      <c r="T38" s="572"/>
      <c r="U38" s="607"/>
      <c r="V38" s="607"/>
      <c r="W38" s="607"/>
      <c r="X38" s="607"/>
      <c r="Y38" s="585"/>
      <c r="Z38" s="585"/>
    </row>
    <row r="39" spans="1:26">
      <c r="A39" s="592"/>
      <c r="B39" s="592"/>
      <c r="C39" s="593">
        <v>30</v>
      </c>
      <c r="D39" s="594"/>
      <c r="E39" s="650" t="s">
        <v>430</v>
      </c>
      <c r="F39" s="620">
        <f>SUM(F35:F37)</f>
        <v>10642374.51</v>
      </c>
      <c r="G39" s="620">
        <f t="shared" ref="G39:S39" si="6">SUM(G35:G37)</f>
        <v>10607621.92</v>
      </c>
      <c r="H39" s="620">
        <f t="shared" si="6"/>
        <v>10632019.93</v>
      </c>
      <c r="I39" s="620">
        <f t="shared" si="6"/>
        <v>10775029.48</v>
      </c>
      <c r="J39" s="620">
        <f t="shared" si="6"/>
        <v>10791150.959999999</v>
      </c>
      <c r="K39" s="620">
        <f t="shared" si="6"/>
        <v>10819211.199999999</v>
      </c>
      <c r="L39" s="620">
        <f t="shared" si="6"/>
        <v>10915801.789999999</v>
      </c>
      <c r="M39" s="620">
        <f t="shared" si="6"/>
        <v>10999361.99</v>
      </c>
      <c r="N39" s="620">
        <f t="shared" si="6"/>
        <v>10994712.469999999</v>
      </c>
      <c r="O39" s="620">
        <f t="shared" si="6"/>
        <v>11148142.459999999</v>
      </c>
      <c r="P39" s="620">
        <f t="shared" si="6"/>
        <v>11060661.459999999</v>
      </c>
      <c r="Q39" s="620">
        <f t="shared" si="6"/>
        <v>11045134.32</v>
      </c>
      <c r="R39" s="620">
        <f t="shared" si="6"/>
        <v>11134862.35</v>
      </c>
      <c r="S39" s="620">
        <f t="shared" si="6"/>
        <v>10889788.867500002</v>
      </c>
      <c r="T39" s="572"/>
      <c r="U39" s="607"/>
      <c r="V39" s="607"/>
      <c r="W39" s="608"/>
      <c r="X39" s="607"/>
      <c r="Y39" s="585"/>
      <c r="Z39" s="585"/>
    </row>
    <row r="40" spans="1:26">
      <c r="A40" s="592"/>
      <c r="B40" s="592"/>
      <c r="C40" s="593">
        <v>31</v>
      </c>
      <c r="D40" s="594"/>
      <c r="E40" s="650"/>
      <c r="F40" s="596"/>
      <c r="G40" s="597"/>
      <c r="H40" s="598"/>
      <c r="I40" s="598"/>
      <c r="J40" s="599"/>
      <c r="K40" s="600"/>
      <c r="L40" s="601"/>
      <c r="M40" s="602"/>
      <c r="N40" s="603"/>
      <c r="O40" s="604"/>
      <c r="P40" s="605"/>
      <c r="Q40" s="606"/>
      <c r="R40" s="596"/>
      <c r="S40" s="598">
        <f t="shared" si="0"/>
        <v>0</v>
      </c>
      <c r="T40" s="572"/>
      <c r="U40" s="607"/>
      <c r="V40" s="607"/>
      <c r="W40" s="607"/>
      <c r="X40" s="607"/>
      <c r="Y40" s="585"/>
      <c r="Z40" s="585"/>
    </row>
    <row r="41" spans="1:26">
      <c r="A41" s="592" t="s">
        <v>431</v>
      </c>
      <c r="B41" s="592" t="s">
        <v>398</v>
      </c>
      <c r="C41" s="593">
        <v>32</v>
      </c>
      <c r="D41" s="594">
        <v>0</v>
      </c>
      <c r="E41" s="595" t="s">
        <v>432</v>
      </c>
      <c r="F41" s="596">
        <v>31796378.109999999</v>
      </c>
      <c r="G41" s="597">
        <v>33637701.130000003</v>
      </c>
      <c r="H41" s="598">
        <v>44807487.329999998</v>
      </c>
      <c r="I41" s="598">
        <v>52398976.439999998</v>
      </c>
      <c r="J41" s="599">
        <v>49576190.109999999</v>
      </c>
      <c r="K41" s="600">
        <v>48951604.280000001</v>
      </c>
      <c r="L41" s="601">
        <v>45625476.759999998</v>
      </c>
      <c r="M41" s="602">
        <v>37997660.950000003</v>
      </c>
      <c r="N41" s="603">
        <v>29727244.120000001</v>
      </c>
      <c r="O41" s="604">
        <v>20012518.899999999</v>
      </c>
      <c r="P41" s="605">
        <v>15883490.439999999</v>
      </c>
      <c r="Q41" s="606">
        <v>8440571.4900000002</v>
      </c>
      <c r="R41" s="596">
        <v>3539112.52</v>
      </c>
      <c r="S41" s="598">
        <f t="shared" si="0"/>
        <v>33727222.272083335</v>
      </c>
      <c r="T41" s="572"/>
      <c r="U41" s="607"/>
      <c r="V41" s="607"/>
      <c r="W41" s="607"/>
      <c r="X41" s="607"/>
      <c r="Y41" s="585"/>
      <c r="Z41" s="585"/>
    </row>
    <row r="42" spans="1:26">
      <c r="A42" s="592" t="s">
        <v>433</v>
      </c>
      <c r="B42" s="592" t="s">
        <v>434</v>
      </c>
      <c r="C42" s="593">
        <v>33</v>
      </c>
      <c r="D42" s="594" t="str">
        <f>A42&amp;"."&amp;B42</f>
        <v>1340.1*</v>
      </c>
      <c r="E42" s="595" t="s">
        <v>435</v>
      </c>
      <c r="F42" s="596">
        <v>0</v>
      </c>
      <c r="G42" s="597">
        <v>0</v>
      </c>
      <c r="H42" s="598">
        <v>0</v>
      </c>
      <c r="I42" s="598">
        <v>0</v>
      </c>
      <c r="J42" s="599">
        <v>0</v>
      </c>
      <c r="K42" s="600">
        <v>0</v>
      </c>
      <c r="L42" s="601">
        <v>0</v>
      </c>
      <c r="M42" s="602">
        <v>0</v>
      </c>
      <c r="N42" s="603">
        <v>0</v>
      </c>
      <c r="O42" s="604">
        <v>0</v>
      </c>
      <c r="P42" s="605">
        <v>0</v>
      </c>
      <c r="Q42" s="606">
        <v>0</v>
      </c>
      <c r="R42" s="596">
        <v>0</v>
      </c>
      <c r="S42" s="598">
        <f t="shared" si="0"/>
        <v>0</v>
      </c>
      <c r="T42" s="572"/>
      <c r="U42" s="607"/>
      <c r="V42" s="607"/>
      <c r="W42" s="607"/>
      <c r="X42" s="607"/>
      <c r="Y42" s="585"/>
      <c r="Z42" s="585"/>
    </row>
    <row r="43" spans="1:26">
      <c r="A43" s="592" t="s">
        <v>436</v>
      </c>
      <c r="B43" s="592" t="s">
        <v>398</v>
      </c>
      <c r="C43" s="593">
        <v>34</v>
      </c>
      <c r="D43" s="594" t="str">
        <f>+A43</f>
        <v>1350</v>
      </c>
      <c r="E43" s="595" t="s">
        <v>437</v>
      </c>
      <c r="F43" s="625">
        <v>2700</v>
      </c>
      <c r="G43" s="597">
        <v>2700</v>
      </c>
      <c r="H43" s="627">
        <v>2700</v>
      </c>
      <c r="I43" s="627">
        <v>2700</v>
      </c>
      <c r="J43" s="628">
        <v>2700</v>
      </c>
      <c r="K43" s="629">
        <v>2700</v>
      </c>
      <c r="L43" s="630">
        <v>2700</v>
      </c>
      <c r="M43" s="631">
        <v>2700</v>
      </c>
      <c r="N43" s="632">
        <v>2700</v>
      </c>
      <c r="O43" s="633">
        <v>2700</v>
      </c>
      <c r="P43" s="634">
        <v>2700</v>
      </c>
      <c r="Q43" s="606">
        <v>2700</v>
      </c>
      <c r="R43" s="625">
        <v>2750</v>
      </c>
      <c r="S43" s="598">
        <f t="shared" si="0"/>
        <v>2702.0833333333335</v>
      </c>
      <c r="T43" s="572"/>
      <c r="U43" s="607"/>
      <c r="V43" s="607"/>
      <c r="W43" s="607"/>
      <c r="X43" s="607"/>
      <c r="Y43" s="585"/>
      <c r="Z43" s="585"/>
    </row>
    <row r="44" spans="1:26">
      <c r="A44" s="592"/>
      <c r="B44" s="592"/>
      <c r="C44" s="593">
        <v>35</v>
      </c>
      <c r="D44" s="594"/>
      <c r="E44" s="650"/>
      <c r="F44" s="609"/>
      <c r="G44" s="610"/>
      <c r="H44" s="611"/>
      <c r="I44" s="611"/>
      <c r="J44" s="612"/>
      <c r="K44" s="613"/>
      <c r="L44" s="614"/>
      <c r="M44" s="615"/>
      <c r="N44" s="616"/>
      <c r="O44" s="617"/>
      <c r="P44" s="618"/>
      <c r="Q44" s="619"/>
      <c r="R44" s="609"/>
      <c r="S44" s="598">
        <f t="shared" si="0"/>
        <v>0</v>
      </c>
      <c r="T44" s="572"/>
      <c r="U44" s="607"/>
      <c r="V44" s="607"/>
      <c r="W44" s="607"/>
      <c r="X44" s="607"/>
      <c r="Y44" s="585"/>
      <c r="Z44" s="585"/>
    </row>
    <row r="45" spans="1:26">
      <c r="A45" s="592"/>
      <c r="B45" s="592"/>
      <c r="C45" s="593">
        <v>36</v>
      </c>
      <c r="D45" s="594"/>
      <c r="E45" s="650" t="s">
        <v>438</v>
      </c>
      <c r="F45" s="620">
        <f>SUM(F41:F43)</f>
        <v>31799078.109999999</v>
      </c>
      <c r="G45" s="620">
        <f t="shared" ref="G45:S45" si="7">SUM(G41:G43)</f>
        <v>33640401.130000003</v>
      </c>
      <c r="H45" s="620">
        <f t="shared" si="7"/>
        <v>44810187.329999998</v>
      </c>
      <c r="I45" s="620">
        <f t="shared" si="7"/>
        <v>52401676.439999998</v>
      </c>
      <c r="J45" s="620">
        <f t="shared" si="7"/>
        <v>49578890.109999999</v>
      </c>
      <c r="K45" s="620">
        <f t="shared" si="7"/>
        <v>48954304.280000001</v>
      </c>
      <c r="L45" s="620">
        <f t="shared" si="7"/>
        <v>45628176.759999998</v>
      </c>
      <c r="M45" s="620">
        <f t="shared" si="7"/>
        <v>38000360.950000003</v>
      </c>
      <c r="N45" s="620">
        <f t="shared" si="7"/>
        <v>29729944.120000001</v>
      </c>
      <c r="O45" s="620">
        <f t="shared" si="7"/>
        <v>20015218.899999999</v>
      </c>
      <c r="P45" s="620">
        <f t="shared" si="7"/>
        <v>15886190.439999999</v>
      </c>
      <c r="Q45" s="620">
        <f t="shared" si="7"/>
        <v>8443271.4900000002</v>
      </c>
      <c r="R45" s="620">
        <f t="shared" si="7"/>
        <v>3541862.52</v>
      </c>
      <c r="S45" s="620">
        <f t="shared" si="7"/>
        <v>33729924.35541667</v>
      </c>
      <c r="T45" s="572"/>
      <c r="U45" s="607"/>
      <c r="V45" s="607"/>
      <c r="W45" s="607"/>
      <c r="X45" s="608">
        <f>S45</f>
        <v>33729924.35541667</v>
      </c>
      <c r="Y45" s="585"/>
      <c r="Z45" s="585"/>
    </row>
    <row r="46" spans="1:26">
      <c r="A46" s="592"/>
      <c r="B46" s="592"/>
      <c r="C46" s="593">
        <v>37</v>
      </c>
      <c r="D46" s="594"/>
      <c r="E46" s="650"/>
      <c r="F46" s="596"/>
      <c r="G46" s="597"/>
      <c r="H46" s="598"/>
      <c r="I46" s="598"/>
      <c r="J46" s="599"/>
      <c r="K46" s="600"/>
      <c r="L46" s="601"/>
      <c r="M46" s="602"/>
      <c r="N46" s="603"/>
      <c r="O46" s="604"/>
      <c r="P46" s="605"/>
      <c r="Q46" s="606"/>
      <c r="R46" s="596"/>
      <c r="S46" s="598">
        <f t="shared" si="0"/>
        <v>0</v>
      </c>
      <c r="T46" s="572"/>
      <c r="U46" s="607"/>
      <c r="V46" s="607"/>
      <c r="W46" s="607"/>
      <c r="X46" s="607"/>
      <c r="Y46" s="585"/>
      <c r="Z46" s="585"/>
    </row>
    <row r="47" spans="1:26">
      <c r="A47" s="592" t="s">
        <v>439</v>
      </c>
      <c r="B47" s="592" t="s">
        <v>398</v>
      </c>
      <c r="C47" s="593">
        <v>38</v>
      </c>
      <c r="D47" s="594" t="str">
        <f>+A47</f>
        <v>1360</v>
      </c>
      <c r="E47" s="595" t="s">
        <v>440</v>
      </c>
      <c r="F47" s="596">
        <v>0</v>
      </c>
      <c r="G47" s="597">
        <v>0</v>
      </c>
      <c r="H47" s="598">
        <v>0</v>
      </c>
      <c r="I47" s="598">
        <v>0</v>
      </c>
      <c r="J47" s="599">
        <v>0</v>
      </c>
      <c r="K47" s="600">
        <v>0</v>
      </c>
      <c r="L47" s="601">
        <v>0</v>
      </c>
      <c r="M47" s="602">
        <v>0</v>
      </c>
      <c r="N47" s="603">
        <v>0</v>
      </c>
      <c r="O47" s="604">
        <v>0</v>
      </c>
      <c r="P47" s="605">
        <v>0</v>
      </c>
      <c r="Q47" s="606">
        <v>0</v>
      </c>
      <c r="R47" s="596">
        <v>0</v>
      </c>
      <c r="S47" s="598">
        <f t="shared" si="0"/>
        <v>0</v>
      </c>
      <c r="T47" s="572"/>
      <c r="U47" s="607"/>
      <c r="V47" s="607"/>
      <c r="W47" s="607"/>
      <c r="X47" s="607"/>
      <c r="Y47" s="585"/>
      <c r="Z47" s="585"/>
    </row>
    <row r="48" spans="1:26">
      <c r="A48" s="592"/>
      <c r="B48" s="592"/>
      <c r="C48" s="593">
        <v>39</v>
      </c>
      <c r="D48" s="594"/>
      <c r="E48" s="650"/>
      <c r="F48" s="609"/>
      <c r="G48" s="610"/>
      <c r="H48" s="611"/>
      <c r="I48" s="611"/>
      <c r="J48" s="612"/>
      <c r="K48" s="613"/>
      <c r="L48" s="614"/>
      <c r="M48" s="615"/>
      <c r="N48" s="616"/>
      <c r="O48" s="617"/>
      <c r="P48" s="618"/>
      <c r="Q48" s="619"/>
      <c r="R48" s="609"/>
      <c r="S48" s="598">
        <f t="shared" si="0"/>
        <v>0</v>
      </c>
      <c r="T48" s="572"/>
      <c r="U48" s="607"/>
      <c r="V48" s="607"/>
      <c r="W48" s="607"/>
      <c r="X48" s="607"/>
      <c r="Y48" s="585"/>
      <c r="Z48" s="585"/>
    </row>
    <row r="49" spans="1:26">
      <c r="A49" s="592"/>
      <c r="B49" s="592"/>
      <c r="C49" s="593">
        <v>40</v>
      </c>
      <c r="D49" s="594"/>
      <c r="E49" s="650" t="s">
        <v>441</v>
      </c>
      <c r="F49" s="620">
        <f>+F47</f>
        <v>0</v>
      </c>
      <c r="G49" s="620">
        <f t="shared" ref="G49:S49" si="8">+G47</f>
        <v>0</v>
      </c>
      <c r="H49" s="620">
        <f t="shared" si="8"/>
        <v>0</v>
      </c>
      <c r="I49" s="620">
        <f t="shared" si="8"/>
        <v>0</v>
      </c>
      <c r="J49" s="620">
        <f t="shared" si="8"/>
        <v>0</v>
      </c>
      <c r="K49" s="620">
        <f t="shared" si="8"/>
        <v>0</v>
      </c>
      <c r="L49" s="620">
        <f t="shared" si="8"/>
        <v>0</v>
      </c>
      <c r="M49" s="620">
        <f t="shared" si="8"/>
        <v>0</v>
      </c>
      <c r="N49" s="620">
        <f t="shared" si="8"/>
        <v>0</v>
      </c>
      <c r="O49" s="620">
        <f t="shared" si="8"/>
        <v>0</v>
      </c>
      <c r="P49" s="620">
        <f t="shared" si="8"/>
        <v>0</v>
      </c>
      <c r="Q49" s="620">
        <f t="shared" si="8"/>
        <v>0</v>
      </c>
      <c r="R49" s="620">
        <f t="shared" si="8"/>
        <v>0</v>
      </c>
      <c r="S49" s="620">
        <f t="shared" si="8"/>
        <v>0</v>
      </c>
      <c r="T49" s="572"/>
      <c r="U49" s="607"/>
      <c r="V49" s="607"/>
      <c r="W49" s="607"/>
      <c r="X49" s="607"/>
      <c r="Y49" s="585"/>
      <c r="Z49" s="585"/>
    </row>
    <row r="50" spans="1:26">
      <c r="A50" s="592"/>
      <c r="B50" s="592"/>
      <c r="C50" s="593">
        <v>41</v>
      </c>
      <c r="D50" s="594"/>
      <c r="E50" s="650"/>
      <c r="F50" s="596"/>
      <c r="G50" s="597"/>
      <c r="H50" s="598"/>
      <c r="I50" s="598"/>
      <c r="J50" s="599"/>
      <c r="K50" s="600"/>
      <c r="L50" s="601"/>
      <c r="M50" s="602"/>
      <c r="N50" s="603"/>
      <c r="O50" s="604"/>
      <c r="P50" s="605"/>
      <c r="Q50" s="606"/>
      <c r="R50" s="596"/>
      <c r="S50" s="598">
        <f t="shared" si="0"/>
        <v>0</v>
      </c>
      <c r="T50" s="572"/>
      <c r="U50" s="607"/>
      <c r="V50" s="607"/>
      <c r="W50" s="607"/>
      <c r="X50" s="607"/>
      <c r="Y50" s="585"/>
      <c r="Z50" s="585"/>
    </row>
    <row r="51" spans="1:26">
      <c r="A51" s="592" t="s">
        <v>442</v>
      </c>
      <c r="B51" s="592" t="s">
        <v>398</v>
      </c>
      <c r="C51" s="593">
        <v>42</v>
      </c>
      <c r="D51" s="594" t="str">
        <f>+A51</f>
        <v>1420</v>
      </c>
      <c r="E51" s="595" t="s">
        <v>443</v>
      </c>
      <c r="F51" s="596">
        <v>17163639.989999998</v>
      </c>
      <c r="G51" s="597">
        <v>26322767.609999999</v>
      </c>
      <c r="H51" s="598">
        <v>20047055.809999999</v>
      </c>
      <c r="I51" s="598">
        <v>18417152.960000001</v>
      </c>
      <c r="J51" s="599">
        <v>14049277.699999999</v>
      </c>
      <c r="K51" s="600">
        <v>10183208.6</v>
      </c>
      <c r="L51" s="601">
        <v>8622829.0099999998</v>
      </c>
      <c r="M51" s="602">
        <v>7531448.8600000003</v>
      </c>
      <c r="N51" s="603">
        <v>6298975.6600000001</v>
      </c>
      <c r="O51" s="604">
        <v>6778198.8799999999</v>
      </c>
      <c r="P51" s="605">
        <v>7689242.75</v>
      </c>
      <c r="Q51" s="606">
        <v>8533149.9199999999</v>
      </c>
      <c r="R51" s="596">
        <v>18361542.969999999</v>
      </c>
      <c r="S51" s="598">
        <f t="shared" si="0"/>
        <v>12686324.936666666</v>
      </c>
      <c r="T51" s="572"/>
      <c r="U51" s="607"/>
      <c r="V51" s="607"/>
      <c r="W51" s="607"/>
      <c r="X51" s="607"/>
      <c r="Y51" s="585"/>
      <c r="Z51" s="585"/>
    </row>
    <row r="52" spans="1:26">
      <c r="A52" s="592" t="s">
        <v>444</v>
      </c>
      <c r="B52" s="592" t="s">
        <v>398</v>
      </c>
      <c r="C52" s="593">
        <v>43</v>
      </c>
      <c r="D52" s="594" t="str">
        <f>+A52</f>
        <v>1432</v>
      </c>
      <c r="E52" s="595" t="s">
        <v>445</v>
      </c>
      <c r="F52" s="596">
        <v>1964217.09</v>
      </c>
      <c r="G52" s="597">
        <v>1879399.49</v>
      </c>
      <c r="H52" s="598">
        <v>2171369.25</v>
      </c>
      <c r="I52" s="598">
        <v>3186245.43</v>
      </c>
      <c r="J52" s="599">
        <v>3513224.13</v>
      </c>
      <c r="K52" s="600">
        <v>3880038.02</v>
      </c>
      <c r="L52" s="601">
        <v>2019869.43</v>
      </c>
      <c r="M52" s="602">
        <v>1652166.99</v>
      </c>
      <c r="N52" s="603">
        <v>1606524.04</v>
      </c>
      <c r="O52" s="604">
        <v>1559833.95</v>
      </c>
      <c r="P52" s="605">
        <v>1578182.34</v>
      </c>
      <c r="Q52" s="606">
        <v>1540722.05</v>
      </c>
      <c r="R52" s="596">
        <v>1813282.23</v>
      </c>
      <c r="S52" s="598">
        <f t="shared" si="0"/>
        <v>2206360.398333333</v>
      </c>
      <c r="T52" s="572"/>
      <c r="U52" s="607"/>
      <c r="V52" s="607"/>
      <c r="W52" s="607"/>
      <c r="X52" s="607"/>
      <c r="Y52" s="585"/>
      <c r="Z52" s="585"/>
    </row>
    <row r="53" spans="1:26">
      <c r="A53" s="592" t="s">
        <v>446</v>
      </c>
      <c r="B53" s="592" t="s">
        <v>398</v>
      </c>
      <c r="C53" s="593">
        <v>44</v>
      </c>
      <c r="D53" s="594" t="str">
        <f>+A53</f>
        <v>1710</v>
      </c>
      <c r="E53" s="595" t="s">
        <v>447</v>
      </c>
      <c r="F53" s="636">
        <v>0</v>
      </c>
      <c r="G53" s="637">
        <v>0</v>
      </c>
      <c r="H53" s="638">
        <v>0</v>
      </c>
      <c r="I53" s="638">
        <v>0</v>
      </c>
      <c r="J53" s="639">
        <v>0</v>
      </c>
      <c r="K53" s="640">
        <v>0</v>
      </c>
      <c r="L53" s="641">
        <v>0</v>
      </c>
      <c r="M53" s="642">
        <v>0</v>
      </c>
      <c r="N53" s="643">
        <v>0</v>
      </c>
      <c r="O53" s="644">
        <v>0</v>
      </c>
      <c r="P53" s="645">
        <v>0</v>
      </c>
      <c r="Q53" s="646">
        <v>0</v>
      </c>
      <c r="R53" s="636">
        <v>0</v>
      </c>
      <c r="S53" s="598">
        <f t="shared" si="0"/>
        <v>0</v>
      </c>
      <c r="T53" s="572"/>
      <c r="U53" s="607"/>
      <c r="V53" s="607"/>
      <c r="W53" s="607"/>
      <c r="X53" s="607"/>
      <c r="Y53" s="585"/>
      <c r="Z53" s="585"/>
    </row>
    <row r="54" spans="1:26">
      <c r="A54" s="592"/>
      <c r="B54" s="592"/>
      <c r="C54" s="593">
        <v>45</v>
      </c>
      <c r="D54" s="594"/>
      <c r="E54" s="650" t="s">
        <v>448</v>
      </c>
      <c r="F54" s="596">
        <f>SUM(F51:F53)</f>
        <v>19127857.079999998</v>
      </c>
      <c r="G54" s="596">
        <f t="shared" ref="G54:S54" si="9">SUM(G51:G53)</f>
        <v>28202167.099999998</v>
      </c>
      <c r="H54" s="596">
        <f t="shared" si="9"/>
        <v>22218425.059999999</v>
      </c>
      <c r="I54" s="596">
        <f t="shared" si="9"/>
        <v>21603398.390000001</v>
      </c>
      <c r="J54" s="596">
        <f t="shared" si="9"/>
        <v>17562501.829999998</v>
      </c>
      <c r="K54" s="596">
        <f t="shared" si="9"/>
        <v>14063246.619999999</v>
      </c>
      <c r="L54" s="596">
        <f t="shared" si="9"/>
        <v>10642698.439999999</v>
      </c>
      <c r="M54" s="596">
        <f t="shared" si="9"/>
        <v>9183615.8499999996</v>
      </c>
      <c r="N54" s="596">
        <f t="shared" si="9"/>
        <v>7905499.7000000002</v>
      </c>
      <c r="O54" s="596">
        <f t="shared" si="9"/>
        <v>8338032.8300000001</v>
      </c>
      <c r="P54" s="596">
        <f t="shared" si="9"/>
        <v>9267425.0899999999</v>
      </c>
      <c r="Q54" s="596">
        <f t="shared" si="9"/>
        <v>10073871.970000001</v>
      </c>
      <c r="R54" s="596">
        <f t="shared" si="9"/>
        <v>20174825.199999999</v>
      </c>
      <c r="S54" s="596">
        <f t="shared" si="9"/>
        <v>14892685.334999999</v>
      </c>
      <c r="T54" s="572"/>
      <c r="U54" s="607"/>
      <c r="V54" s="607"/>
      <c r="W54" s="607"/>
      <c r="X54" s="608">
        <f>S54</f>
        <v>14892685.334999999</v>
      </c>
      <c r="Y54" s="585"/>
      <c r="Z54" s="585"/>
    </row>
    <row r="55" spans="1:26">
      <c r="A55" s="592"/>
      <c r="B55" s="592"/>
      <c r="C55" s="593">
        <v>46</v>
      </c>
      <c r="D55" s="594"/>
      <c r="E55" s="650" t="s">
        <v>99</v>
      </c>
      <c r="F55" s="596"/>
      <c r="G55" s="597"/>
      <c r="H55" s="598"/>
      <c r="I55" s="598"/>
      <c r="J55" s="599"/>
      <c r="K55" s="600"/>
      <c r="L55" s="601"/>
      <c r="M55" s="602"/>
      <c r="N55" s="603"/>
      <c r="O55" s="604"/>
      <c r="P55" s="605"/>
      <c r="Q55" s="606"/>
      <c r="R55" s="596"/>
      <c r="S55" s="598">
        <f t="shared" si="0"/>
        <v>0</v>
      </c>
      <c r="T55" s="572"/>
      <c r="U55" s="607"/>
      <c r="V55" s="607"/>
      <c r="W55" s="607"/>
      <c r="X55" s="607"/>
      <c r="Y55" s="585"/>
      <c r="Z55" s="585"/>
    </row>
    <row r="56" spans="1:26">
      <c r="A56" s="592" t="s">
        <v>449</v>
      </c>
      <c r="B56" s="592" t="s">
        <v>434</v>
      </c>
      <c r="C56" s="593">
        <v>47</v>
      </c>
      <c r="D56" s="594" t="str">
        <f>A56&amp;"."&amp;B56</f>
        <v>1410.1*</v>
      </c>
      <c r="E56" s="650" t="s">
        <v>450</v>
      </c>
      <c r="F56" s="596">
        <v>0</v>
      </c>
      <c r="G56" s="597">
        <v>0</v>
      </c>
      <c r="H56" s="598">
        <v>0</v>
      </c>
      <c r="I56" s="598">
        <v>0</v>
      </c>
      <c r="J56" s="599">
        <v>0</v>
      </c>
      <c r="K56" s="600">
        <v>0</v>
      </c>
      <c r="L56" s="601">
        <v>0</v>
      </c>
      <c r="M56" s="602">
        <v>0</v>
      </c>
      <c r="N56" s="603">
        <v>0</v>
      </c>
      <c r="O56" s="604">
        <v>0</v>
      </c>
      <c r="P56" s="605">
        <v>0</v>
      </c>
      <c r="Q56" s="606">
        <v>0</v>
      </c>
      <c r="R56" s="596">
        <v>0</v>
      </c>
      <c r="S56" s="598">
        <f t="shared" si="0"/>
        <v>0</v>
      </c>
      <c r="T56" s="572"/>
      <c r="U56" s="607"/>
      <c r="V56" s="607"/>
      <c r="W56" s="607"/>
      <c r="X56" s="608">
        <f>S56</f>
        <v>0</v>
      </c>
      <c r="Y56" s="585"/>
      <c r="Z56" s="585"/>
    </row>
    <row r="57" spans="1:26">
      <c r="A57" s="592" t="s">
        <v>449</v>
      </c>
      <c r="B57" s="592" t="s">
        <v>451</v>
      </c>
      <c r="C57" s="593">
        <v>48</v>
      </c>
      <c r="D57" s="594" t="str">
        <f>A57&amp;"."&amp;B57</f>
        <v>1410.2*</v>
      </c>
      <c r="E57" s="650" t="s">
        <v>452</v>
      </c>
      <c r="F57" s="596">
        <v>0</v>
      </c>
      <c r="G57" s="597">
        <v>0</v>
      </c>
      <c r="H57" s="598">
        <v>0</v>
      </c>
      <c r="I57" s="598">
        <v>0</v>
      </c>
      <c r="J57" s="599">
        <v>0</v>
      </c>
      <c r="K57" s="600">
        <v>0</v>
      </c>
      <c r="L57" s="601">
        <v>0</v>
      </c>
      <c r="M57" s="602">
        <v>0</v>
      </c>
      <c r="N57" s="603">
        <v>0</v>
      </c>
      <c r="O57" s="604">
        <v>0</v>
      </c>
      <c r="P57" s="605">
        <v>0</v>
      </c>
      <c r="Q57" s="606">
        <v>0</v>
      </c>
      <c r="R57" s="596">
        <v>0</v>
      </c>
      <c r="S57" s="598">
        <f t="shared" si="0"/>
        <v>0</v>
      </c>
      <c r="T57" s="572"/>
      <c r="U57" s="607"/>
      <c r="V57" s="607"/>
      <c r="W57" s="607"/>
      <c r="X57" s="575"/>
      <c r="Y57" s="585"/>
      <c r="Z57" s="585"/>
    </row>
    <row r="58" spans="1:26">
      <c r="A58" s="592"/>
      <c r="B58" s="592"/>
      <c r="C58" s="593">
        <v>49</v>
      </c>
      <c r="D58" s="594"/>
      <c r="E58" s="650"/>
      <c r="F58" s="596"/>
      <c r="G58" s="597"/>
      <c r="H58" s="598"/>
      <c r="I58" s="598"/>
      <c r="J58" s="599"/>
      <c r="K58" s="600"/>
      <c r="L58" s="601"/>
      <c r="M58" s="602"/>
      <c r="N58" s="603"/>
      <c r="O58" s="604"/>
      <c r="P58" s="605"/>
      <c r="Q58" s="606"/>
      <c r="R58" s="596"/>
      <c r="S58" s="598">
        <f t="shared" si="0"/>
        <v>0</v>
      </c>
      <c r="T58" s="572"/>
      <c r="U58" s="607"/>
      <c r="V58" s="607"/>
      <c r="W58" s="607"/>
      <c r="X58" s="575"/>
      <c r="Y58" s="585"/>
      <c r="Z58" s="585"/>
    </row>
    <row r="59" spans="1:26">
      <c r="A59" s="592" t="s">
        <v>453</v>
      </c>
      <c r="B59" s="592" t="s">
        <v>454</v>
      </c>
      <c r="C59" s="593">
        <v>50</v>
      </c>
      <c r="D59" s="594" t="str">
        <f t="shared" ref="D59:D68" si="10">A59&amp;"."&amp;B59</f>
        <v>1460.000*</v>
      </c>
      <c r="E59" s="650" t="s">
        <v>455</v>
      </c>
      <c r="F59" s="596">
        <v>0</v>
      </c>
      <c r="G59" s="597">
        <v>0</v>
      </c>
      <c r="H59" s="598">
        <v>0</v>
      </c>
      <c r="I59" s="598">
        <v>0</v>
      </c>
      <c r="J59" s="599">
        <v>0</v>
      </c>
      <c r="K59" s="600">
        <v>0</v>
      </c>
      <c r="L59" s="601">
        <v>0</v>
      </c>
      <c r="M59" s="602">
        <v>0</v>
      </c>
      <c r="N59" s="603">
        <v>0</v>
      </c>
      <c r="O59" s="604">
        <v>0</v>
      </c>
      <c r="P59" s="605">
        <v>0</v>
      </c>
      <c r="Q59" s="606">
        <v>0</v>
      </c>
      <c r="R59" s="596">
        <v>0</v>
      </c>
      <c r="S59" s="598">
        <f t="shared" si="0"/>
        <v>0</v>
      </c>
      <c r="T59" s="572"/>
      <c r="U59" s="607"/>
      <c r="V59" s="607"/>
      <c r="W59" s="607"/>
      <c r="X59" s="575"/>
      <c r="Y59" s="585"/>
      <c r="Z59" s="585"/>
    </row>
    <row r="60" spans="1:26">
      <c r="A60" s="592" t="s">
        <v>453</v>
      </c>
      <c r="B60" s="592" t="s">
        <v>456</v>
      </c>
      <c r="C60" s="593">
        <v>51</v>
      </c>
      <c r="D60" s="594" t="str">
        <f t="shared" si="10"/>
        <v>1460.001*</v>
      </c>
      <c r="E60" s="650" t="s">
        <v>455</v>
      </c>
      <c r="F60" s="596">
        <v>48558.859999999899</v>
      </c>
      <c r="G60" s="597">
        <v>26116.28</v>
      </c>
      <c r="H60" s="598">
        <v>12988.44</v>
      </c>
      <c r="I60" s="598">
        <v>26792.01</v>
      </c>
      <c r="J60" s="599">
        <v>10961.37</v>
      </c>
      <c r="K60" s="600">
        <v>10764.13</v>
      </c>
      <c r="L60" s="601">
        <v>16249.32</v>
      </c>
      <c r="M60" s="602">
        <v>9995.92</v>
      </c>
      <c r="N60" s="603">
        <v>11586.68</v>
      </c>
      <c r="O60" s="604">
        <v>15190.69</v>
      </c>
      <c r="P60" s="605">
        <v>14691.3</v>
      </c>
      <c r="Q60" s="606">
        <v>25150.6</v>
      </c>
      <c r="R60" s="596">
        <v>10479.629999999999</v>
      </c>
      <c r="S60" s="598">
        <f t="shared" si="0"/>
        <v>17500.498749999995</v>
      </c>
      <c r="T60" s="572"/>
      <c r="U60" s="607"/>
      <c r="V60" s="607"/>
      <c r="W60" s="607"/>
      <c r="X60" s="575"/>
      <c r="Y60" s="585"/>
      <c r="Z60" s="585"/>
    </row>
    <row r="61" spans="1:26">
      <c r="A61" s="592" t="s">
        <v>453</v>
      </c>
      <c r="B61" s="592" t="s">
        <v>457</v>
      </c>
      <c r="C61" s="593">
        <v>52</v>
      </c>
      <c r="D61" s="594" t="str">
        <f t="shared" si="10"/>
        <v>1460.041*</v>
      </c>
      <c r="E61" s="650" t="s">
        <v>458</v>
      </c>
      <c r="F61" s="596">
        <v>0</v>
      </c>
      <c r="G61" s="597">
        <v>0</v>
      </c>
      <c r="H61" s="598">
        <v>0</v>
      </c>
      <c r="I61" s="598">
        <v>0</v>
      </c>
      <c r="J61" s="599">
        <v>0</v>
      </c>
      <c r="K61" s="600">
        <v>0</v>
      </c>
      <c r="L61" s="601">
        <v>0</v>
      </c>
      <c r="M61" s="602">
        <v>0</v>
      </c>
      <c r="N61" s="603">
        <v>0</v>
      </c>
      <c r="O61" s="673">
        <v>0</v>
      </c>
      <c r="P61" s="605">
        <v>0</v>
      </c>
      <c r="Q61" s="606">
        <v>0</v>
      </c>
      <c r="R61" s="596">
        <v>0</v>
      </c>
      <c r="S61" s="598">
        <f t="shared" si="0"/>
        <v>0</v>
      </c>
      <c r="T61" s="572"/>
      <c r="U61" s="607"/>
      <c r="V61" s="607"/>
      <c r="W61" s="607"/>
      <c r="X61" s="575"/>
      <c r="Y61" s="585"/>
      <c r="Z61" s="585"/>
    </row>
    <row r="62" spans="1:26">
      <c r="A62" s="592" t="s">
        <v>453</v>
      </c>
      <c r="B62" s="592" t="s">
        <v>459</v>
      </c>
      <c r="C62" s="593">
        <v>53</v>
      </c>
      <c r="D62" s="594" t="str">
        <f t="shared" si="10"/>
        <v>1460.067*</v>
      </c>
      <c r="E62" s="650" t="s">
        <v>460</v>
      </c>
      <c r="F62" s="596">
        <v>0</v>
      </c>
      <c r="G62" s="597">
        <v>0</v>
      </c>
      <c r="H62" s="598">
        <v>0</v>
      </c>
      <c r="I62" s="598">
        <v>0</v>
      </c>
      <c r="J62" s="599">
        <v>0</v>
      </c>
      <c r="K62" s="600">
        <v>0</v>
      </c>
      <c r="L62" s="601">
        <v>0</v>
      </c>
      <c r="M62" s="602">
        <v>0</v>
      </c>
      <c r="N62" s="603">
        <v>0</v>
      </c>
      <c r="O62" s="603">
        <v>600</v>
      </c>
      <c r="P62" s="603">
        <v>600</v>
      </c>
      <c r="Q62" s="603">
        <v>600</v>
      </c>
      <c r="R62" s="596">
        <v>0</v>
      </c>
      <c r="S62" s="598">
        <f t="shared" si="0"/>
        <v>150</v>
      </c>
      <c r="T62" s="572"/>
      <c r="U62" s="607"/>
      <c r="V62" s="607"/>
      <c r="W62" s="607"/>
      <c r="X62" s="575"/>
      <c r="Y62" s="585"/>
      <c r="Z62" s="585"/>
    </row>
    <row r="63" spans="1:26">
      <c r="A63" s="592" t="s">
        <v>453</v>
      </c>
      <c r="B63" s="592" t="s">
        <v>461</v>
      </c>
      <c r="C63" s="593">
        <v>54</v>
      </c>
      <c r="D63" s="594" t="str">
        <f t="shared" si="10"/>
        <v>1460.044*</v>
      </c>
      <c r="E63" s="650" t="s">
        <v>462</v>
      </c>
      <c r="F63" s="596">
        <v>0</v>
      </c>
      <c r="G63" s="597">
        <v>0</v>
      </c>
      <c r="H63" s="598">
        <v>0</v>
      </c>
      <c r="I63" s="598">
        <v>0</v>
      </c>
      <c r="J63" s="599">
        <v>0</v>
      </c>
      <c r="K63" s="600">
        <v>0</v>
      </c>
      <c r="L63" s="601">
        <v>0</v>
      </c>
      <c r="M63" s="602">
        <v>0</v>
      </c>
      <c r="N63" s="603">
        <v>0</v>
      </c>
      <c r="O63" s="673">
        <v>0</v>
      </c>
      <c r="P63" s="605">
        <v>0</v>
      </c>
      <c r="Q63" s="606">
        <v>0</v>
      </c>
      <c r="R63" s="596">
        <v>0</v>
      </c>
      <c r="S63" s="598">
        <f t="shared" si="0"/>
        <v>0</v>
      </c>
      <c r="T63" s="572"/>
      <c r="U63" s="607"/>
      <c r="V63" s="607"/>
      <c r="W63" s="607"/>
      <c r="X63" s="575"/>
      <c r="Y63" s="585"/>
      <c r="Z63" s="585"/>
    </row>
    <row r="64" spans="1:26">
      <c r="A64" s="592" t="s">
        <v>453</v>
      </c>
      <c r="B64" s="592" t="s">
        <v>463</v>
      </c>
      <c r="C64" s="593">
        <v>55</v>
      </c>
      <c r="D64" s="594" t="str">
        <f t="shared" si="10"/>
        <v>1460.046*</v>
      </c>
      <c r="E64" s="650" t="s">
        <v>464</v>
      </c>
      <c r="F64" s="596">
        <v>0</v>
      </c>
      <c r="G64" s="597">
        <v>0</v>
      </c>
      <c r="H64" s="598">
        <v>0</v>
      </c>
      <c r="I64" s="598">
        <v>0</v>
      </c>
      <c r="J64" s="599">
        <v>0</v>
      </c>
      <c r="K64" s="600">
        <v>0</v>
      </c>
      <c r="L64" s="601">
        <v>0</v>
      </c>
      <c r="M64" s="602">
        <v>0</v>
      </c>
      <c r="N64" s="603">
        <v>0</v>
      </c>
      <c r="O64" s="673">
        <v>0</v>
      </c>
      <c r="P64" s="605">
        <v>0</v>
      </c>
      <c r="Q64" s="606">
        <v>0</v>
      </c>
      <c r="R64" s="596">
        <v>0</v>
      </c>
      <c r="S64" s="598">
        <f t="shared" si="0"/>
        <v>0</v>
      </c>
      <c r="T64" s="572"/>
      <c r="U64" s="607"/>
      <c r="V64" s="607"/>
      <c r="W64" s="607"/>
      <c r="X64" s="575"/>
      <c r="Y64" s="585"/>
      <c r="Z64" s="585"/>
    </row>
    <row r="65" spans="1:26">
      <c r="A65" s="568" t="s">
        <v>453</v>
      </c>
      <c r="B65" s="568" t="s">
        <v>465</v>
      </c>
      <c r="C65" s="593">
        <v>56</v>
      </c>
      <c r="D65" s="570" t="str">
        <f t="shared" si="10"/>
        <v>1460.047*</v>
      </c>
      <c r="E65" s="650" t="s">
        <v>466</v>
      </c>
      <c r="F65" s="596">
        <v>0</v>
      </c>
      <c r="G65" s="597">
        <v>0</v>
      </c>
      <c r="H65" s="598">
        <v>0</v>
      </c>
      <c r="I65" s="598">
        <v>0</v>
      </c>
      <c r="J65" s="599">
        <v>0</v>
      </c>
      <c r="K65" s="600">
        <v>0</v>
      </c>
      <c r="L65" s="601">
        <v>0</v>
      </c>
      <c r="M65" s="602">
        <v>0</v>
      </c>
      <c r="N65" s="603">
        <v>0</v>
      </c>
      <c r="O65" s="673">
        <v>0</v>
      </c>
      <c r="P65" s="605">
        <v>0</v>
      </c>
      <c r="Q65" s="606">
        <v>0</v>
      </c>
      <c r="R65" s="596">
        <v>0</v>
      </c>
      <c r="S65" s="598">
        <f t="shared" si="0"/>
        <v>0</v>
      </c>
      <c r="T65" s="572"/>
      <c r="U65" s="607"/>
      <c r="V65" s="607"/>
      <c r="W65" s="607"/>
      <c r="X65" s="575"/>
      <c r="Y65" s="585"/>
      <c r="Z65" s="585"/>
    </row>
    <row r="66" spans="1:26">
      <c r="A66" s="592" t="s">
        <v>453</v>
      </c>
      <c r="B66" s="592" t="s">
        <v>467</v>
      </c>
      <c r="C66" s="593">
        <v>57</v>
      </c>
      <c r="D66" s="594" t="str">
        <f t="shared" si="10"/>
        <v>1460.048*</v>
      </c>
      <c r="E66" s="650" t="s">
        <v>468</v>
      </c>
      <c r="F66" s="596">
        <v>69846.27</v>
      </c>
      <c r="G66" s="597">
        <v>58503.92</v>
      </c>
      <c r="H66" s="598">
        <v>34092.58</v>
      </c>
      <c r="I66" s="598">
        <v>47951.48</v>
      </c>
      <c r="J66" s="599">
        <v>31934.7</v>
      </c>
      <c r="K66" s="600">
        <v>39550.07</v>
      </c>
      <c r="L66" s="601">
        <v>35566.370000000003</v>
      </c>
      <c r="M66" s="602">
        <v>64992.26</v>
      </c>
      <c r="N66" s="603">
        <v>38492.42</v>
      </c>
      <c r="O66" s="673">
        <v>34139.53</v>
      </c>
      <c r="P66" s="605">
        <v>64402.559999999998</v>
      </c>
      <c r="Q66" s="606">
        <v>39382.44</v>
      </c>
      <c r="R66" s="596">
        <v>34047.85</v>
      </c>
      <c r="S66" s="598">
        <f t="shared" si="0"/>
        <v>45079.615833333322</v>
      </c>
      <c r="T66" s="572"/>
      <c r="U66" s="607"/>
      <c r="V66" s="607"/>
      <c r="W66" s="607"/>
      <c r="X66" s="575"/>
      <c r="Y66" s="585"/>
      <c r="Z66" s="585"/>
    </row>
    <row r="67" spans="1:26">
      <c r="A67" s="568" t="s">
        <v>453</v>
      </c>
      <c r="B67" s="568" t="s">
        <v>469</v>
      </c>
      <c r="C67" s="593">
        <v>58</v>
      </c>
      <c r="D67" s="570" t="str">
        <f t="shared" si="10"/>
        <v>1460.060*</v>
      </c>
      <c r="E67" s="650" t="s">
        <v>470</v>
      </c>
      <c r="F67" s="596">
        <v>0</v>
      </c>
      <c r="G67" s="597">
        <v>0</v>
      </c>
      <c r="H67" s="598">
        <v>0</v>
      </c>
      <c r="I67" s="598">
        <v>0</v>
      </c>
      <c r="J67" s="599">
        <v>0</v>
      </c>
      <c r="K67" s="600">
        <v>0</v>
      </c>
      <c r="L67" s="601">
        <v>0</v>
      </c>
      <c r="M67" s="602">
        <v>0</v>
      </c>
      <c r="N67" s="603">
        <v>0</v>
      </c>
      <c r="O67" s="673">
        <v>0</v>
      </c>
      <c r="P67" s="605">
        <v>0</v>
      </c>
      <c r="Q67" s="606">
        <v>0</v>
      </c>
      <c r="R67" s="596">
        <v>0</v>
      </c>
      <c r="S67" s="598">
        <f t="shared" si="0"/>
        <v>0</v>
      </c>
      <c r="T67" s="572"/>
      <c r="U67" s="607"/>
      <c r="V67" s="607"/>
      <c r="W67" s="607"/>
      <c r="X67" s="575"/>
      <c r="Y67" s="585"/>
      <c r="Z67" s="585"/>
    </row>
    <row r="68" spans="1:26">
      <c r="A68" s="568" t="s">
        <v>453</v>
      </c>
      <c r="B68" s="568" t="s">
        <v>471</v>
      </c>
      <c r="C68" s="593">
        <v>59</v>
      </c>
      <c r="D68" s="570" t="str">
        <f t="shared" si="10"/>
        <v>1460.062*</v>
      </c>
      <c r="E68" s="650" t="s">
        <v>472</v>
      </c>
      <c r="F68" s="596">
        <v>0</v>
      </c>
      <c r="G68" s="597">
        <v>0</v>
      </c>
      <c r="H68" s="598">
        <v>0</v>
      </c>
      <c r="I68" s="598">
        <v>0</v>
      </c>
      <c r="J68" s="599">
        <v>0</v>
      </c>
      <c r="K68" s="600">
        <v>0</v>
      </c>
      <c r="L68" s="601">
        <v>0</v>
      </c>
      <c r="M68" s="602">
        <v>0</v>
      </c>
      <c r="N68" s="603">
        <v>0</v>
      </c>
      <c r="O68" s="673">
        <v>0</v>
      </c>
      <c r="P68" s="605">
        <v>0</v>
      </c>
      <c r="Q68" s="606">
        <v>15532.52</v>
      </c>
      <c r="R68" s="596">
        <v>15532.52</v>
      </c>
      <c r="S68" s="598">
        <f t="shared" si="0"/>
        <v>1941.5649999999998</v>
      </c>
      <c r="T68" s="572"/>
      <c r="U68" s="607"/>
      <c r="V68" s="607"/>
      <c r="W68" s="607"/>
      <c r="X68" s="575"/>
      <c r="Y68" s="585"/>
      <c r="Z68" s="585"/>
    </row>
    <row r="69" spans="1:26">
      <c r="A69" s="592"/>
      <c r="B69" s="674"/>
      <c r="C69" s="593">
        <v>60</v>
      </c>
      <c r="D69" s="594"/>
      <c r="E69" s="650" t="s">
        <v>473</v>
      </c>
      <c r="F69" s="620">
        <f>SUM(F56:F68)</f>
        <v>118405.1299999999</v>
      </c>
      <c r="G69" s="620">
        <f t="shared" ref="G69:S69" si="11">SUM(G56:G68)</f>
        <v>84620.2</v>
      </c>
      <c r="H69" s="620">
        <f t="shared" si="11"/>
        <v>47081.020000000004</v>
      </c>
      <c r="I69" s="620">
        <f t="shared" si="11"/>
        <v>74743.490000000005</v>
      </c>
      <c r="J69" s="620">
        <f t="shared" si="11"/>
        <v>42896.07</v>
      </c>
      <c r="K69" s="620">
        <f t="shared" si="11"/>
        <v>50314.2</v>
      </c>
      <c r="L69" s="620">
        <f t="shared" si="11"/>
        <v>51815.69</v>
      </c>
      <c r="M69" s="620">
        <f t="shared" si="11"/>
        <v>74988.180000000008</v>
      </c>
      <c r="N69" s="620">
        <f t="shared" si="11"/>
        <v>50079.1</v>
      </c>
      <c r="O69" s="620">
        <f t="shared" si="11"/>
        <v>49930.22</v>
      </c>
      <c r="P69" s="620">
        <f t="shared" si="11"/>
        <v>79693.86</v>
      </c>
      <c r="Q69" s="620">
        <f t="shared" si="11"/>
        <v>80665.56</v>
      </c>
      <c r="R69" s="620">
        <f t="shared" si="11"/>
        <v>60060</v>
      </c>
      <c r="S69" s="620">
        <f t="shared" si="11"/>
        <v>64671.679583333316</v>
      </c>
      <c r="T69" s="572"/>
      <c r="U69" s="607"/>
      <c r="V69" s="607"/>
      <c r="W69" s="608">
        <f>S69</f>
        <v>64671.679583333316</v>
      </c>
      <c r="X69" s="575"/>
      <c r="Y69" s="585"/>
      <c r="Z69" s="585"/>
    </row>
    <row r="70" spans="1:26">
      <c r="A70" s="592"/>
      <c r="B70" s="674"/>
      <c r="C70" s="593">
        <v>61</v>
      </c>
      <c r="D70" s="594"/>
      <c r="E70" s="650"/>
      <c r="F70" s="596"/>
      <c r="G70" s="597"/>
      <c r="H70" s="598"/>
      <c r="I70" s="598"/>
      <c r="J70" s="599"/>
      <c r="K70" s="600"/>
      <c r="L70" s="601"/>
      <c r="M70" s="602"/>
      <c r="N70" s="603"/>
      <c r="O70" s="633"/>
      <c r="P70" s="605"/>
      <c r="Q70" s="606"/>
      <c r="R70" s="596"/>
      <c r="S70" s="598">
        <f t="shared" si="0"/>
        <v>0</v>
      </c>
      <c r="T70" s="572"/>
      <c r="U70" s="607"/>
      <c r="V70" s="607"/>
      <c r="W70" s="607"/>
      <c r="X70" s="575"/>
      <c r="Y70" s="585"/>
      <c r="Z70" s="585"/>
    </row>
    <row r="71" spans="1:26">
      <c r="A71" s="592" t="s">
        <v>474</v>
      </c>
      <c r="B71" s="674" t="s">
        <v>398</v>
      </c>
      <c r="C71" s="593">
        <v>62</v>
      </c>
      <c r="D71" s="594">
        <v>1466</v>
      </c>
      <c r="E71" s="650" t="s">
        <v>475</v>
      </c>
      <c r="F71" s="596">
        <v>0</v>
      </c>
      <c r="G71" s="597">
        <v>0</v>
      </c>
      <c r="H71" s="598">
        <v>0</v>
      </c>
      <c r="I71" s="598">
        <v>0</v>
      </c>
      <c r="J71" s="599">
        <v>0</v>
      </c>
      <c r="K71" s="600">
        <v>0</v>
      </c>
      <c r="L71" s="601">
        <v>0</v>
      </c>
      <c r="M71" s="602">
        <v>0</v>
      </c>
      <c r="N71" s="603">
        <v>0</v>
      </c>
      <c r="O71" s="673">
        <v>0</v>
      </c>
      <c r="P71" s="605">
        <v>0</v>
      </c>
      <c r="Q71" s="606">
        <v>0</v>
      </c>
      <c r="R71" s="596">
        <v>0</v>
      </c>
      <c r="S71" s="598">
        <f t="shared" si="0"/>
        <v>0</v>
      </c>
      <c r="T71" s="572"/>
      <c r="U71" s="607"/>
      <c r="V71" s="607"/>
      <c r="W71" s="608">
        <f>S71</f>
        <v>0</v>
      </c>
      <c r="X71" s="575"/>
      <c r="Y71" s="585"/>
      <c r="Z71" s="585"/>
    </row>
    <row r="72" spans="1:26">
      <c r="A72" s="592"/>
      <c r="B72" s="592"/>
      <c r="C72" s="593">
        <v>63</v>
      </c>
      <c r="D72" s="594"/>
      <c r="E72" s="650"/>
      <c r="F72" s="596"/>
      <c r="G72" s="597"/>
      <c r="H72" s="598"/>
      <c r="I72" s="598"/>
      <c r="J72" s="599"/>
      <c r="K72" s="600"/>
      <c r="L72" s="601"/>
      <c r="M72" s="602"/>
      <c r="N72" s="603"/>
      <c r="O72" s="604"/>
      <c r="P72" s="605"/>
      <c r="Q72" s="606"/>
      <c r="R72" s="596"/>
      <c r="S72" s="598">
        <f t="shared" si="0"/>
        <v>0</v>
      </c>
      <c r="T72" s="572"/>
      <c r="U72" s="607"/>
      <c r="V72" s="607"/>
      <c r="W72" s="607"/>
      <c r="X72" s="575"/>
      <c r="Y72" s="585"/>
      <c r="Z72" s="585"/>
    </row>
    <row r="73" spans="1:26">
      <c r="A73" s="592"/>
      <c r="B73" s="592"/>
      <c r="C73" s="593">
        <v>64</v>
      </c>
      <c r="D73" s="594"/>
      <c r="E73" s="650" t="s">
        <v>476</v>
      </c>
      <c r="F73" s="596">
        <f>+F71+F69+F54</f>
        <v>19246262.209999997</v>
      </c>
      <c r="G73" s="596">
        <f t="shared" ref="G73:S73" si="12">+G71+G69+G54</f>
        <v>28286787.299999997</v>
      </c>
      <c r="H73" s="596">
        <f t="shared" si="12"/>
        <v>22265506.079999998</v>
      </c>
      <c r="I73" s="596">
        <f t="shared" si="12"/>
        <v>21678141.879999999</v>
      </c>
      <c r="J73" s="596">
        <f t="shared" si="12"/>
        <v>17605397.899999999</v>
      </c>
      <c r="K73" s="596">
        <f t="shared" si="12"/>
        <v>14113560.819999998</v>
      </c>
      <c r="L73" s="596">
        <f t="shared" si="12"/>
        <v>10694514.129999999</v>
      </c>
      <c r="M73" s="596">
        <f t="shared" si="12"/>
        <v>9258604.0299999993</v>
      </c>
      <c r="N73" s="596">
        <f t="shared" si="12"/>
        <v>7955578.7999999998</v>
      </c>
      <c r="O73" s="596">
        <f t="shared" si="12"/>
        <v>8387963.0499999998</v>
      </c>
      <c r="P73" s="596">
        <f t="shared" si="12"/>
        <v>9347118.9499999993</v>
      </c>
      <c r="Q73" s="596">
        <f t="shared" si="12"/>
        <v>10154537.530000001</v>
      </c>
      <c r="R73" s="596">
        <f t="shared" si="12"/>
        <v>20234885.199999999</v>
      </c>
      <c r="S73" s="596">
        <f t="shared" si="12"/>
        <v>14957357.014583332</v>
      </c>
      <c r="T73" s="572"/>
      <c r="U73" s="607"/>
      <c r="V73" s="607"/>
      <c r="W73" s="607"/>
      <c r="X73" s="607"/>
      <c r="Y73" s="585"/>
      <c r="Z73" s="585"/>
    </row>
    <row r="74" spans="1:26">
      <c r="A74" s="592"/>
      <c r="B74" s="592"/>
      <c r="C74" s="593">
        <v>65</v>
      </c>
      <c r="D74" s="570"/>
      <c r="E74" s="650"/>
      <c r="F74" s="596"/>
      <c r="G74" s="597"/>
      <c r="H74" s="598"/>
      <c r="I74" s="598"/>
      <c r="J74" s="599"/>
      <c r="K74" s="600"/>
      <c r="L74" s="601"/>
      <c r="M74" s="602"/>
      <c r="N74" s="603"/>
      <c r="O74" s="604"/>
      <c r="P74" s="605"/>
      <c r="Q74" s="606"/>
      <c r="R74" s="596"/>
      <c r="S74" s="598">
        <f t="shared" si="0"/>
        <v>0</v>
      </c>
      <c r="T74" s="572"/>
      <c r="U74" s="607"/>
      <c r="V74" s="607"/>
      <c r="W74" s="607"/>
      <c r="X74" s="607"/>
      <c r="Y74" s="585"/>
      <c r="Z74" s="585"/>
    </row>
    <row r="75" spans="1:26">
      <c r="A75" s="592" t="s">
        <v>477</v>
      </c>
      <c r="B75" s="592" t="s">
        <v>398</v>
      </c>
      <c r="C75" s="593">
        <v>66</v>
      </c>
      <c r="D75" s="570" t="str">
        <f>+A75</f>
        <v>1442</v>
      </c>
      <c r="E75" s="595" t="s">
        <v>478</v>
      </c>
      <c r="F75" s="596">
        <v>-401439.13</v>
      </c>
      <c r="G75" s="597">
        <v>-624811.17000000004</v>
      </c>
      <c r="H75" s="598">
        <v>-665111.98</v>
      </c>
      <c r="I75" s="598">
        <v>-612366.89</v>
      </c>
      <c r="J75" s="599">
        <v>-559025.18999999994</v>
      </c>
      <c r="K75" s="600">
        <v>-531431.04</v>
      </c>
      <c r="L75" s="601">
        <v>-430587.85</v>
      </c>
      <c r="M75" s="602">
        <v>-362696.57</v>
      </c>
      <c r="N75" s="603">
        <v>-292228.65000000002</v>
      </c>
      <c r="O75" s="604">
        <v>-248556.61</v>
      </c>
      <c r="P75" s="605">
        <v>-242332.38</v>
      </c>
      <c r="Q75" s="606">
        <v>-265166.53999999998</v>
      </c>
      <c r="R75" s="596">
        <v>-412137.48</v>
      </c>
      <c r="S75" s="598">
        <f t="shared" si="0"/>
        <v>-436758.59791666665</v>
      </c>
      <c r="T75" s="572"/>
      <c r="U75" s="607"/>
      <c r="V75" s="607"/>
      <c r="W75" s="607"/>
      <c r="X75" s="607"/>
      <c r="Y75" s="585"/>
      <c r="Z75" s="585"/>
    </row>
    <row r="76" spans="1:26">
      <c r="A76" s="592" t="s">
        <v>479</v>
      </c>
      <c r="B76" s="592" t="s">
        <v>398</v>
      </c>
      <c r="C76" s="593">
        <v>67</v>
      </c>
      <c r="D76" s="570" t="str">
        <f>+A76</f>
        <v>1443</v>
      </c>
      <c r="E76" s="595" t="s">
        <v>480</v>
      </c>
      <c r="F76" s="596">
        <v>-40000</v>
      </c>
      <c r="G76" s="597">
        <v>-40000</v>
      </c>
      <c r="H76" s="598">
        <v>-38782.51</v>
      </c>
      <c r="I76" s="598">
        <v>-38782.51</v>
      </c>
      <c r="J76" s="599">
        <v>-38782.51</v>
      </c>
      <c r="K76" s="600">
        <v>-34733.08</v>
      </c>
      <c r="L76" s="601">
        <v>-33535.199999999997</v>
      </c>
      <c r="M76" s="602">
        <v>-28404.51</v>
      </c>
      <c r="N76" s="603">
        <v>-28404.51</v>
      </c>
      <c r="O76" s="604">
        <v>-28404.51</v>
      </c>
      <c r="P76" s="605">
        <v>-28404.51</v>
      </c>
      <c r="Q76" s="606">
        <v>-28404.51</v>
      </c>
      <c r="R76" s="596">
        <v>-40000</v>
      </c>
      <c r="S76" s="598">
        <f t="shared" ref="S76:S139" si="13">((F76+R76)+((G76+H76+I76+J76+K76+L76+M76+N76+O76+P76+Q76)*2))/24</f>
        <v>-33886.530000000006</v>
      </c>
      <c r="T76" s="572"/>
      <c r="U76" s="607"/>
      <c r="V76" s="607"/>
      <c r="W76" s="607"/>
      <c r="X76" s="607"/>
      <c r="Y76" s="585"/>
      <c r="Z76" s="585"/>
    </row>
    <row r="77" spans="1:26">
      <c r="A77" s="592" t="s">
        <v>481</v>
      </c>
      <c r="B77" s="592" t="s">
        <v>398</v>
      </c>
      <c r="C77" s="593">
        <v>68</v>
      </c>
      <c r="D77" s="570" t="str">
        <f>+A77</f>
        <v>1449</v>
      </c>
      <c r="E77" s="595" t="s">
        <v>482</v>
      </c>
      <c r="F77" s="636">
        <v>-20000</v>
      </c>
      <c r="G77" s="637">
        <v>-15659.52</v>
      </c>
      <c r="H77" s="638">
        <v>-17302.900000000001</v>
      </c>
      <c r="I77" s="638">
        <v>-15893.85</v>
      </c>
      <c r="J77" s="639">
        <v>-13338.68</v>
      </c>
      <c r="K77" s="640">
        <v>-6655.48</v>
      </c>
      <c r="L77" s="641">
        <v>-5641.47</v>
      </c>
      <c r="M77" s="642">
        <v>-5614.19</v>
      </c>
      <c r="N77" s="643">
        <v>-2540.77</v>
      </c>
      <c r="O77" s="644">
        <v>-1339.49</v>
      </c>
      <c r="P77" s="645">
        <v>-1339.49</v>
      </c>
      <c r="Q77" s="646">
        <v>-788.430000000002</v>
      </c>
      <c r="R77" s="636">
        <v>-19013.580000000002</v>
      </c>
      <c r="S77" s="598">
        <f t="shared" si="13"/>
        <v>-8801.7550000000028</v>
      </c>
      <c r="T77" s="572"/>
      <c r="U77" s="607"/>
      <c r="V77" s="607"/>
      <c r="W77" s="607"/>
      <c r="X77" s="607"/>
      <c r="Y77" s="585"/>
      <c r="Z77" s="585"/>
    </row>
    <row r="78" spans="1:26">
      <c r="A78" s="592"/>
      <c r="B78" s="592"/>
      <c r="C78" s="593">
        <v>69</v>
      </c>
      <c r="D78" s="570"/>
      <c r="E78" s="595"/>
      <c r="F78" s="625"/>
      <c r="G78" s="626"/>
      <c r="H78" s="627"/>
      <c r="I78" s="627"/>
      <c r="J78" s="628"/>
      <c r="K78" s="629"/>
      <c r="L78" s="630"/>
      <c r="M78" s="631"/>
      <c r="N78" s="632"/>
      <c r="O78" s="633"/>
      <c r="P78" s="634"/>
      <c r="Q78" s="635"/>
      <c r="R78" s="625"/>
      <c r="S78" s="598">
        <f t="shared" si="13"/>
        <v>0</v>
      </c>
      <c r="T78" s="572"/>
      <c r="U78" s="607"/>
      <c r="V78" s="607"/>
      <c r="W78" s="607"/>
      <c r="X78" s="607"/>
      <c r="Y78" s="585"/>
      <c r="Z78" s="585"/>
    </row>
    <row r="79" spans="1:26">
      <c r="A79" s="592"/>
      <c r="B79" s="592"/>
      <c r="C79" s="593">
        <v>70</v>
      </c>
      <c r="D79" s="594"/>
      <c r="E79" s="650" t="s">
        <v>483</v>
      </c>
      <c r="F79" s="625">
        <f>SUM(F75:F77)</f>
        <v>-461439.13</v>
      </c>
      <c r="G79" s="625">
        <f t="shared" ref="G79:S79" si="14">SUM(G75:G77)</f>
        <v>-680470.69000000006</v>
      </c>
      <c r="H79" s="625">
        <f t="shared" si="14"/>
        <v>-721197.39</v>
      </c>
      <c r="I79" s="625">
        <f t="shared" si="14"/>
        <v>-667043.25</v>
      </c>
      <c r="J79" s="625">
        <f t="shared" si="14"/>
        <v>-611146.38</v>
      </c>
      <c r="K79" s="625">
        <f t="shared" si="14"/>
        <v>-572819.6</v>
      </c>
      <c r="L79" s="625">
        <f t="shared" si="14"/>
        <v>-469764.51999999996</v>
      </c>
      <c r="M79" s="625">
        <f t="shared" si="14"/>
        <v>-396715.27</v>
      </c>
      <c r="N79" s="625">
        <f t="shared" si="14"/>
        <v>-323173.93000000005</v>
      </c>
      <c r="O79" s="625">
        <f t="shared" si="14"/>
        <v>-278300.61</v>
      </c>
      <c r="P79" s="625">
        <f t="shared" si="14"/>
        <v>-272076.38</v>
      </c>
      <c r="Q79" s="625">
        <f t="shared" si="14"/>
        <v>-294359.48</v>
      </c>
      <c r="R79" s="625">
        <f t="shared" si="14"/>
        <v>-471151.06</v>
      </c>
      <c r="S79" s="625">
        <f t="shared" si="14"/>
        <v>-479446.88291666668</v>
      </c>
      <c r="T79" s="572"/>
      <c r="U79" s="607"/>
      <c r="V79" s="607"/>
      <c r="W79" s="607"/>
      <c r="X79" s="608">
        <f>S79</f>
        <v>-479446.88291666668</v>
      </c>
      <c r="Y79" s="585"/>
      <c r="Z79" s="585"/>
    </row>
    <row r="80" spans="1:26">
      <c r="A80" s="592"/>
      <c r="B80" s="592"/>
      <c r="C80" s="593">
        <v>71</v>
      </c>
      <c r="D80" s="594"/>
      <c r="E80" s="650"/>
      <c r="F80" s="609"/>
      <c r="G80" s="609"/>
      <c r="H80" s="609"/>
      <c r="I80" s="609"/>
      <c r="J80" s="609"/>
      <c r="K80" s="609"/>
      <c r="L80" s="609"/>
      <c r="M80" s="609"/>
      <c r="N80" s="609"/>
      <c r="O80" s="609"/>
      <c r="P80" s="609"/>
      <c r="Q80" s="609"/>
      <c r="R80" s="609"/>
      <c r="S80" s="609"/>
      <c r="T80" s="572"/>
      <c r="U80" s="607"/>
      <c r="V80" s="607"/>
      <c r="W80" s="607"/>
      <c r="X80" s="607"/>
      <c r="Y80" s="585"/>
      <c r="Z80" s="585"/>
    </row>
    <row r="81" spans="1:26">
      <c r="A81" s="592"/>
      <c r="B81" s="592"/>
      <c r="C81" s="593">
        <v>72</v>
      </c>
      <c r="D81" s="594"/>
      <c r="E81" s="650" t="s">
        <v>484</v>
      </c>
      <c r="F81" s="620">
        <f>+F73+F79</f>
        <v>18784823.079999998</v>
      </c>
      <c r="G81" s="620">
        <f t="shared" ref="G81:S81" si="15">+G73+G79</f>
        <v>27606316.609999996</v>
      </c>
      <c r="H81" s="620">
        <f t="shared" si="15"/>
        <v>21544308.689999998</v>
      </c>
      <c r="I81" s="620">
        <f t="shared" si="15"/>
        <v>21011098.629999999</v>
      </c>
      <c r="J81" s="620">
        <f t="shared" si="15"/>
        <v>16994251.52</v>
      </c>
      <c r="K81" s="620">
        <f t="shared" si="15"/>
        <v>13540741.219999999</v>
      </c>
      <c r="L81" s="620">
        <f t="shared" si="15"/>
        <v>10224749.609999999</v>
      </c>
      <c r="M81" s="620">
        <f t="shared" si="15"/>
        <v>8861888.7599999998</v>
      </c>
      <c r="N81" s="620">
        <f t="shared" si="15"/>
        <v>7632404.8700000001</v>
      </c>
      <c r="O81" s="620">
        <f t="shared" si="15"/>
        <v>8109662.4399999995</v>
      </c>
      <c r="P81" s="620">
        <f t="shared" si="15"/>
        <v>9075042.5699999984</v>
      </c>
      <c r="Q81" s="620">
        <f t="shared" si="15"/>
        <v>9860178.0500000007</v>
      </c>
      <c r="R81" s="620">
        <f t="shared" si="15"/>
        <v>19763734.140000001</v>
      </c>
      <c r="S81" s="620">
        <f t="shared" si="15"/>
        <v>14477910.131666666</v>
      </c>
      <c r="T81" s="572"/>
      <c r="U81" s="607"/>
      <c r="V81" s="607"/>
      <c r="W81" s="607"/>
      <c r="X81" s="607"/>
      <c r="Y81" s="585"/>
      <c r="Z81" s="585"/>
    </row>
    <row r="82" spans="1:26">
      <c r="A82" s="592"/>
      <c r="B82" s="592"/>
      <c r="C82" s="593">
        <v>73</v>
      </c>
      <c r="D82" s="594"/>
      <c r="E82" s="650"/>
      <c r="F82" s="596"/>
      <c r="G82" s="597"/>
      <c r="H82" s="598"/>
      <c r="I82" s="598"/>
      <c r="J82" s="599"/>
      <c r="K82" s="600"/>
      <c r="L82" s="601"/>
      <c r="M82" s="602"/>
      <c r="N82" s="603"/>
      <c r="O82" s="604"/>
      <c r="P82" s="605"/>
      <c r="Q82" s="606"/>
      <c r="R82" s="596"/>
      <c r="S82" s="598">
        <f t="shared" si="13"/>
        <v>0</v>
      </c>
      <c r="T82" s="572"/>
      <c r="U82" s="607"/>
      <c r="V82" s="607"/>
      <c r="W82" s="607"/>
      <c r="X82" s="607"/>
      <c r="Y82" s="585"/>
      <c r="Z82" s="585"/>
    </row>
    <row r="83" spans="1:26">
      <c r="A83" s="592" t="s">
        <v>485</v>
      </c>
      <c r="B83" s="592" t="s">
        <v>398</v>
      </c>
      <c r="C83" s="593">
        <v>74</v>
      </c>
      <c r="D83" s="594" t="str">
        <f>+A83</f>
        <v>1540</v>
      </c>
      <c r="E83" s="595" t="s">
        <v>486</v>
      </c>
      <c r="F83" s="596">
        <v>7019221.7300000004</v>
      </c>
      <c r="G83" s="597">
        <v>6875168.5999999996</v>
      </c>
      <c r="H83" s="598">
        <v>6777067.6399999997</v>
      </c>
      <c r="I83" s="598">
        <v>6833615.6799999997</v>
      </c>
      <c r="J83" s="599">
        <v>7007981.5999999996</v>
      </c>
      <c r="K83" s="600">
        <v>7051778.0599999996</v>
      </c>
      <c r="L83" s="601">
        <v>7233831.7300000004</v>
      </c>
      <c r="M83" s="602">
        <v>7196644.9400000004</v>
      </c>
      <c r="N83" s="603">
        <v>7223266.5300000003</v>
      </c>
      <c r="O83" s="604">
        <v>7796442.8799999999</v>
      </c>
      <c r="P83" s="605">
        <v>7542268.9100000001</v>
      </c>
      <c r="Q83" s="606">
        <v>7494539.7300000004</v>
      </c>
      <c r="R83" s="596">
        <v>7223893.4299999997</v>
      </c>
      <c r="S83" s="598">
        <f t="shared" si="13"/>
        <v>7179513.6566666672</v>
      </c>
      <c r="T83" s="572"/>
      <c r="U83" s="607"/>
      <c r="V83" s="607"/>
      <c r="W83" s="607"/>
      <c r="X83" s="607"/>
      <c r="Y83" s="585"/>
      <c r="Z83" s="585"/>
    </row>
    <row r="84" spans="1:26">
      <c r="A84" s="592" t="s">
        <v>487</v>
      </c>
      <c r="B84" s="592" t="s">
        <v>398</v>
      </c>
      <c r="C84" s="593">
        <v>75</v>
      </c>
      <c r="D84" s="594" t="str">
        <f>+A84</f>
        <v>1630</v>
      </c>
      <c r="E84" s="595" t="s">
        <v>488</v>
      </c>
      <c r="F84" s="596">
        <v>2.91038304567337E-11</v>
      </c>
      <c r="G84" s="597">
        <v>6295.25</v>
      </c>
      <c r="H84" s="598">
        <v>4651.54</v>
      </c>
      <c r="I84" s="598">
        <v>23106.77</v>
      </c>
      <c r="J84" s="599">
        <v>41906.57</v>
      </c>
      <c r="K84" s="600">
        <v>67087.56</v>
      </c>
      <c r="L84" s="601">
        <v>85003.37</v>
      </c>
      <c r="M84" s="602">
        <v>102587.63</v>
      </c>
      <c r="N84" s="603">
        <v>151876.95000000001</v>
      </c>
      <c r="O84" s="604">
        <v>166830.17000000001</v>
      </c>
      <c r="P84" s="605">
        <v>173789.35</v>
      </c>
      <c r="Q84" s="606">
        <v>187712.69</v>
      </c>
      <c r="R84" s="596">
        <v>-2.91038304567337E-11</v>
      </c>
      <c r="S84" s="598">
        <f t="shared" si="13"/>
        <v>84237.320833333346</v>
      </c>
      <c r="T84" s="572"/>
      <c r="U84" s="607"/>
      <c r="V84" s="607"/>
      <c r="W84" s="607"/>
      <c r="X84" s="607"/>
      <c r="Y84" s="585"/>
      <c r="Z84" s="585"/>
    </row>
    <row r="85" spans="1:26">
      <c r="A85" s="592" t="s">
        <v>489</v>
      </c>
      <c r="B85" s="592" t="s">
        <v>490</v>
      </c>
      <c r="C85" s="593">
        <v>76</v>
      </c>
      <c r="D85" s="594" t="str">
        <f>A85&amp;"."&amp;B85</f>
        <v>1641.[01,03]</v>
      </c>
      <c r="E85" s="595" t="s">
        <v>491</v>
      </c>
      <c r="F85" s="625">
        <v>0</v>
      </c>
      <c r="G85" s="597">
        <v>0</v>
      </c>
      <c r="H85" s="627">
        <v>0</v>
      </c>
      <c r="I85" s="627">
        <v>0</v>
      </c>
      <c r="J85" s="628">
        <v>0</v>
      </c>
      <c r="K85" s="629">
        <v>0</v>
      </c>
      <c r="L85" s="630">
        <v>0</v>
      </c>
      <c r="M85" s="631">
        <v>0</v>
      </c>
      <c r="N85" s="632">
        <v>0</v>
      </c>
      <c r="O85" s="633">
        <v>0</v>
      </c>
      <c r="P85" s="634">
        <v>0</v>
      </c>
      <c r="Q85" s="606">
        <v>0</v>
      </c>
      <c r="R85" s="625">
        <v>0</v>
      </c>
      <c r="S85" s="598">
        <f t="shared" si="13"/>
        <v>0</v>
      </c>
      <c r="T85" s="572"/>
      <c r="U85" s="607"/>
      <c r="V85" s="607"/>
      <c r="W85" s="607"/>
      <c r="X85" s="607"/>
      <c r="Y85" s="585"/>
      <c r="Z85" s="585"/>
    </row>
    <row r="86" spans="1:26">
      <c r="A86" s="592" t="s">
        <v>489</v>
      </c>
      <c r="B86" s="592" t="s">
        <v>492</v>
      </c>
      <c r="C86" s="593">
        <v>77</v>
      </c>
      <c r="D86" s="594" t="str">
        <f>A86&amp;"."&amp;B86</f>
        <v>1641.02</v>
      </c>
      <c r="E86" s="595" t="s">
        <v>493</v>
      </c>
      <c r="F86" s="625">
        <v>52788.7</v>
      </c>
      <c r="G86" s="597">
        <v>592943.59</v>
      </c>
      <c r="H86" s="627">
        <v>0</v>
      </c>
      <c r="I86" s="627">
        <v>278037.19</v>
      </c>
      <c r="J86" s="628">
        <v>364258.05</v>
      </c>
      <c r="K86" s="629">
        <v>91779.05</v>
      </c>
      <c r="L86" s="630">
        <v>6720.03999999999</v>
      </c>
      <c r="M86" s="631">
        <v>-6.3664629124105001E-12</v>
      </c>
      <c r="N86" s="632">
        <v>-6.3664629124105001E-12</v>
      </c>
      <c r="O86" s="633">
        <v>149539.65</v>
      </c>
      <c r="P86" s="634">
        <v>206387.69</v>
      </c>
      <c r="Q86" s="606">
        <v>280814.13</v>
      </c>
      <c r="R86" s="625">
        <v>87958.720000000001</v>
      </c>
      <c r="S86" s="598">
        <f t="shared" si="13"/>
        <v>170071.09166666667</v>
      </c>
      <c r="T86" s="572"/>
      <c r="U86" s="607"/>
      <c r="V86" s="607"/>
      <c r="W86" s="607"/>
      <c r="X86" s="607"/>
      <c r="Y86" s="585"/>
      <c r="Z86" s="585"/>
    </row>
    <row r="87" spans="1:26">
      <c r="A87" s="592" t="s">
        <v>489</v>
      </c>
      <c r="B87" s="592" t="s">
        <v>556</v>
      </c>
      <c r="C87" s="593">
        <v>78</v>
      </c>
      <c r="D87" s="594" t="str">
        <f>A87&amp;"."&amp;B87</f>
        <v>1641.04</v>
      </c>
      <c r="E87" s="595" t="s">
        <v>994</v>
      </c>
      <c r="F87" s="625">
        <v>186057.52</v>
      </c>
      <c r="G87" s="597">
        <v>200402.73</v>
      </c>
      <c r="H87" s="627">
        <v>219068.21</v>
      </c>
      <c r="I87" s="627">
        <v>236891.08</v>
      </c>
      <c r="J87" s="628">
        <v>206008.55</v>
      </c>
      <c r="K87" s="629">
        <v>206008.55</v>
      </c>
      <c r="L87" s="630">
        <v>1820.00999999998</v>
      </c>
      <c r="M87" s="631">
        <v>-1.9781509763561199E-11</v>
      </c>
      <c r="N87" s="632">
        <v>51352.98</v>
      </c>
      <c r="O87" s="633">
        <v>89896.35</v>
      </c>
      <c r="P87" s="634">
        <v>89896.35</v>
      </c>
      <c r="Q87" s="606">
        <v>38697.56</v>
      </c>
      <c r="R87" s="625">
        <v>38697.56</v>
      </c>
      <c r="S87" s="598">
        <f t="shared" si="13"/>
        <v>121034.99250000004</v>
      </c>
      <c r="T87" s="572"/>
      <c r="U87" s="607"/>
      <c r="V87" s="607"/>
      <c r="W87" s="607"/>
      <c r="X87" s="607"/>
      <c r="Y87" s="585"/>
      <c r="Z87" s="585"/>
    </row>
    <row r="88" spans="1:26">
      <c r="A88" s="592" t="s">
        <v>494</v>
      </c>
      <c r="B88" s="592" t="s">
        <v>398</v>
      </c>
      <c r="C88" s="593">
        <v>79</v>
      </c>
      <c r="D88" s="594" t="str">
        <f>+A88</f>
        <v>1642</v>
      </c>
      <c r="E88" s="595" t="s">
        <v>495</v>
      </c>
      <c r="F88" s="625">
        <v>712311.02</v>
      </c>
      <c r="G88" s="597">
        <v>697965.81</v>
      </c>
      <c r="H88" s="627">
        <v>679300.33</v>
      </c>
      <c r="I88" s="627">
        <v>661477.46</v>
      </c>
      <c r="J88" s="628">
        <v>1205358</v>
      </c>
      <c r="K88" s="629">
        <v>1258794.78</v>
      </c>
      <c r="L88" s="630">
        <v>1462983.32</v>
      </c>
      <c r="M88" s="631">
        <v>1461900.81</v>
      </c>
      <c r="N88" s="632">
        <v>1905391.12</v>
      </c>
      <c r="O88" s="633">
        <v>2374582.09</v>
      </c>
      <c r="P88" s="634">
        <v>2374582.09</v>
      </c>
      <c r="Q88" s="606">
        <v>2393533.4399999999</v>
      </c>
      <c r="R88" s="625">
        <v>1705163.69</v>
      </c>
      <c r="S88" s="598">
        <f t="shared" si="13"/>
        <v>1473717.2170833331</v>
      </c>
      <c r="T88" s="572"/>
      <c r="U88" s="607"/>
      <c r="V88" s="607"/>
      <c r="W88" s="607"/>
      <c r="X88" s="607"/>
      <c r="Y88" s="585"/>
      <c r="Z88" s="585"/>
    </row>
    <row r="89" spans="1:26">
      <c r="A89" s="592"/>
      <c r="B89" s="592"/>
      <c r="C89" s="593">
        <v>80</v>
      </c>
      <c r="D89" s="594"/>
      <c r="E89" s="595"/>
      <c r="F89" s="609"/>
      <c r="G89" s="610"/>
      <c r="H89" s="611"/>
      <c r="I89" s="611"/>
      <c r="J89" s="612"/>
      <c r="K89" s="613"/>
      <c r="L89" s="614"/>
      <c r="M89" s="615"/>
      <c r="N89" s="616"/>
      <c r="O89" s="617"/>
      <c r="P89" s="618"/>
      <c r="Q89" s="619"/>
      <c r="R89" s="609"/>
      <c r="S89" s="598">
        <f t="shared" si="13"/>
        <v>0</v>
      </c>
      <c r="T89" s="572"/>
      <c r="U89" s="607"/>
      <c r="V89" s="607"/>
      <c r="W89" s="607"/>
      <c r="X89" s="607"/>
      <c r="Y89" s="585"/>
      <c r="Z89" s="585"/>
    </row>
    <row r="90" spans="1:26">
      <c r="A90" s="592"/>
      <c r="B90" s="592"/>
      <c r="C90" s="593">
        <v>81</v>
      </c>
      <c r="D90" s="594"/>
      <c r="E90" s="595" t="s">
        <v>496</v>
      </c>
      <c r="F90" s="620">
        <f>SUM(F83:F88)</f>
        <v>7970378.9700000007</v>
      </c>
      <c r="G90" s="620">
        <f t="shared" ref="G90:S90" si="16">SUM(G83:G88)</f>
        <v>8372775.9800000004</v>
      </c>
      <c r="H90" s="620">
        <f t="shared" si="16"/>
        <v>7680087.7199999997</v>
      </c>
      <c r="I90" s="620">
        <f t="shared" si="16"/>
        <v>8033128.1799999997</v>
      </c>
      <c r="J90" s="620">
        <f t="shared" si="16"/>
        <v>8825512.7699999996</v>
      </c>
      <c r="K90" s="620">
        <f t="shared" si="16"/>
        <v>8675447.9999999981</v>
      </c>
      <c r="L90" s="620">
        <f t="shared" si="16"/>
        <v>8790358.4700000007</v>
      </c>
      <c r="M90" s="620">
        <f t="shared" si="16"/>
        <v>8761133.3800000008</v>
      </c>
      <c r="N90" s="620">
        <f t="shared" si="16"/>
        <v>9331887.5800000019</v>
      </c>
      <c r="O90" s="620">
        <f t="shared" si="16"/>
        <v>10577291.140000001</v>
      </c>
      <c r="P90" s="620">
        <f t="shared" si="16"/>
        <v>10386924.390000001</v>
      </c>
      <c r="Q90" s="620">
        <f t="shared" si="16"/>
        <v>10395297.550000001</v>
      </c>
      <c r="R90" s="620">
        <f t="shared" si="16"/>
        <v>9055713.3999999985</v>
      </c>
      <c r="S90" s="620">
        <f t="shared" si="16"/>
        <v>9028574.2787500005</v>
      </c>
      <c r="T90" s="572"/>
      <c r="U90" s="607"/>
      <c r="V90" s="607"/>
      <c r="W90" s="607"/>
      <c r="X90" s="608">
        <f>S90</f>
        <v>9028574.2787500005</v>
      </c>
      <c r="Y90" s="585"/>
      <c r="Z90" s="585"/>
    </row>
    <row r="91" spans="1:26">
      <c r="A91" s="592"/>
      <c r="B91" s="592"/>
      <c r="C91" s="593">
        <v>82</v>
      </c>
      <c r="D91" s="594"/>
      <c r="E91" s="650"/>
      <c r="F91" s="596"/>
      <c r="G91" s="597"/>
      <c r="H91" s="598"/>
      <c r="I91" s="598"/>
      <c r="J91" s="599"/>
      <c r="K91" s="600"/>
      <c r="L91" s="601"/>
      <c r="M91" s="602"/>
      <c r="N91" s="603"/>
      <c r="O91" s="604"/>
      <c r="P91" s="605"/>
      <c r="Q91" s="606"/>
      <c r="R91" s="596"/>
      <c r="S91" s="598">
        <f t="shared" si="13"/>
        <v>0</v>
      </c>
      <c r="T91" s="572"/>
      <c r="U91" s="607"/>
      <c r="V91" s="607"/>
      <c r="W91" s="607"/>
      <c r="X91" s="607"/>
      <c r="Y91" s="585"/>
      <c r="Z91" s="585"/>
    </row>
    <row r="92" spans="1:26">
      <c r="A92" s="592" t="s">
        <v>497</v>
      </c>
      <c r="B92" s="592" t="s">
        <v>398</v>
      </c>
      <c r="C92" s="593">
        <v>83</v>
      </c>
      <c r="D92" s="594" t="str">
        <f>+A92</f>
        <v>1655</v>
      </c>
      <c r="E92" s="595" t="s">
        <v>498</v>
      </c>
      <c r="F92" s="596">
        <v>141934.38</v>
      </c>
      <c r="G92" s="597">
        <v>1047402.23</v>
      </c>
      <c r="H92" s="598">
        <v>951220.2</v>
      </c>
      <c r="I92" s="598">
        <v>862269.45</v>
      </c>
      <c r="J92" s="599">
        <v>753777.95</v>
      </c>
      <c r="K92" s="600">
        <v>645735.46</v>
      </c>
      <c r="L92" s="601">
        <v>573398.41</v>
      </c>
      <c r="M92" s="602">
        <v>465355.91</v>
      </c>
      <c r="N92" s="603">
        <v>357313.43</v>
      </c>
      <c r="O92" s="604">
        <v>282349.87</v>
      </c>
      <c r="P92" s="605">
        <v>171680.88</v>
      </c>
      <c r="Q92" s="606">
        <v>233437.62</v>
      </c>
      <c r="R92" s="596">
        <v>146719</v>
      </c>
      <c r="S92" s="598">
        <f t="shared" si="13"/>
        <v>540689.00833333342</v>
      </c>
      <c r="T92" s="572"/>
      <c r="U92" s="607"/>
      <c r="V92" s="607"/>
      <c r="W92" s="607"/>
      <c r="X92" s="607"/>
      <c r="Y92" s="585"/>
      <c r="Z92" s="585"/>
    </row>
    <row r="93" spans="1:26">
      <c r="A93" s="568" t="s">
        <v>499</v>
      </c>
      <c r="B93" s="568" t="s">
        <v>500</v>
      </c>
      <c r="C93" s="593">
        <v>84</v>
      </c>
      <c r="D93" s="570" t="str">
        <f>A93&amp;"."&amp;B93</f>
        <v>1659.[18,19,20]</v>
      </c>
      <c r="E93" s="675" t="s">
        <v>501</v>
      </c>
      <c r="F93" s="596">
        <v>0</v>
      </c>
      <c r="G93" s="676">
        <v>0</v>
      </c>
      <c r="H93" s="598">
        <v>0</v>
      </c>
      <c r="I93" s="598">
        <v>0</v>
      </c>
      <c r="J93" s="599">
        <v>0</v>
      </c>
      <c r="K93" s="600">
        <v>0</v>
      </c>
      <c r="L93" s="601">
        <v>0</v>
      </c>
      <c r="M93" s="602">
        <v>0</v>
      </c>
      <c r="N93" s="603">
        <v>0</v>
      </c>
      <c r="O93" s="604">
        <v>752163.93</v>
      </c>
      <c r="P93" s="605">
        <v>554607.04</v>
      </c>
      <c r="Q93" s="677">
        <v>391140.84</v>
      </c>
      <c r="R93" s="596">
        <v>0</v>
      </c>
      <c r="S93" s="598">
        <f t="shared" si="13"/>
        <v>141492.65083333335</v>
      </c>
      <c r="T93" s="572"/>
      <c r="U93" s="607"/>
      <c r="V93" s="607"/>
      <c r="W93" s="607"/>
      <c r="X93" s="607"/>
      <c r="Y93" s="585"/>
      <c r="Z93" s="585"/>
    </row>
    <row r="94" spans="1:26">
      <c r="A94" s="568" t="s">
        <v>499</v>
      </c>
      <c r="B94" s="568" t="s">
        <v>502</v>
      </c>
      <c r="C94" s="593">
        <v>85</v>
      </c>
      <c r="D94" s="570" t="str">
        <f>A94&amp;"."&amp;B94</f>
        <v>1659.22</v>
      </c>
      <c r="E94" s="675" t="s">
        <v>503</v>
      </c>
      <c r="F94" s="596">
        <v>2719098.63</v>
      </c>
      <c r="G94" s="676">
        <v>2487523.08</v>
      </c>
      <c r="H94" s="598">
        <v>2183281.08</v>
      </c>
      <c r="I94" s="598">
        <v>344683.95</v>
      </c>
      <c r="J94" s="599">
        <v>344683.95</v>
      </c>
      <c r="K94" s="600">
        <v>1242211.08</v>
      </c>
      <c r="L94" s="601">
        <v>1373709.51</v>
      </c>
      <c r="M94" s="602">
        <v>1911378.55</v>
      </c>
      <c r="N94" s="603">
        <v>2541463.54</v>
      </c>
      <c r="O94" s="604">
        <v>2763023.48</v>
      </c>
      <c r="P94" s="605">
        <v>2763023.48</v>
      </c>
      <c r="Q94" s="677">
        <v>2763023.48</v>
      </c>
      <c r="R94" s="596">
        <v>1381150.02</v>
      </c>
      <c r="S94" s="598">
        <f t="shared" si="13"/>
        <v>1897344.125416667</v>
      </c>
      <c r="T94" s="572"/>
      <c r="U94" s="607"/>
      <c r="V94" s="607"/>
      <c r="W94" s="607"/>
      <c r="X94" s="607"/>
      <c r="Y94" s="585"/>
      <c r="Z94" s="585"/>
    </row>
    <row r="95" spans="1:26">
      <c r="A95" s="568" t="s">
        <v>499</v>
      </c>
      <c r="B95" s="568" t="s">
        <v>504</v>
      </c>
      <c r="C95" s="593">
        <v>86</v>
      </c>
      <c r="D95" s="570" t="str">
        <f>A95&amp;"."&amp;B95</f>
        <v>1659.[/20,/21,/22,/18,/19]</v>
      </c>
      <c r="E95" s="595" t="s">
        <v>505</v>
      </c>
      <c r="F95" s="596">
        <v>711944.81</v>
      </c>
      <c r="G95" s="678">
        <v>592136.06999999995</v>
      </c>
      <c r="H95" s="598">
        <v>472327.33</v>
      </c>
      <c r="I95" s="598">
        <v>493362.4</v>
      </c>
      <c r="J95" s="599">
        <v>357904.35</v>
      </c>
      <c r="K95" s="600">
        <v>222446.3</v>
      </c>
      <c r="L95" s="601">
        <v>165668.10999999999</v>
      </c>
      <c r="M95" s="602">
        <v>143494.04999999999</v>
      </c>
      <c r="N95" s="603">
        <v>121319.99</v>
      </c>
      <c r="O95" s="604">
        <v>99145.930000000095</v>
      </c>
      <c r="P95" s="605">
        <v>76971.870000000097</v>
      </c>
      <c r="Q95" s="679">
        <v>1033988.87</v>
      </c>
      <c r="R95" s="596">
        <v>928900.59</v>
      </c>
      <c r="S95" s="598">
        <f t="shared" si="13"/>
        <v>383265.66416666663</v>
      </c>
      <c r="T95" s="572"/>
      <c r="U95" s="607"/>
      <c r="V95" s="607"/>
      <c r="W95" s="607"/>
      <c r="X95" s="607"/>
      <c r="Y95" s="585"/>
      <c r="Z95" s="585"/>
    </row>
    <row r="96" spans="1:26">
      <c r="A96" s="568" t="s">
        <v>506</v>
      </c>
      <c r="B96" s="568" t="s">
        <v>507</v>
      </c>
      <c r="C96" s="593">
        <v>87</v>
      </c>
      <c r="D96" s="570" t="str">
        <f>A96&amp;"."&amp;B96</f>
        <v>1860.[20424,20425]</v>
      </c>
      <c r="E96" s="595" t="s">
        <v>508</v>
      </c>
      <c r="F96" s="596">
        <v>0</v>
      </c>
      <c r="G96" s="678">
        <v>0</v>
      </c>
      <c r="H96" s="598">
        <v>0</v>
      </c>
      <c r="I96" s="598">
        <v>0</v>
      </c>
      <c r="J96" s="599">
        <v>0</v>
      </c>
      <c r="K96" s="600">
        <v>0</v>
      </c>
      <c r="L96" s="601">
        <v>0</v>
      </c>
      <c r="M96" s="602">
        <v>0</v>
      </c>
      <c r="N96" s="603">
        <v>0</v>
      </c>
      <c r="O96" s="604">
        <v>0</v>
      </c>
      <c r="P96" s="605">
        <v>0</v>
      </c>
      <c r="Q96" s="679">
        <v>0</v>
      </c>
      <c r="R96" s="596">
        <v>0</v>
      </c>
      <c r="S96" s="598">
        <f t="shared" si="13"/>
        <v>0</v>
      </c>
      <c r="T96" s="572"/>
      <c r="U96" s="607"/>
      <c r="V96" s="607"/>
      <c r="W96" s="607"/>
      <c r="X96" s="607"/>
      <c r="Y96" s="585"/>
      <c r="Z96" s="585"/>
    </row>
    <row r="97" spans="1:26">
      <c r="A97" s="568" t="s">
        <v>509</v>
      </c>
      <c r="B97" s="568" t="s">
        <v>398</v>
      </c>
      <c r="C97" s="593">
        <v>88</v>
      </c>
      <c r="D97" s="570" t="str">
        <f>+A97</f>
        <v>1747</v>
      </c>
      <c r="E97" s="595" t="s">
        <v>510</v>
      </c>
      <c r="F97" s="625">
        <v>0</v>
      </c>
      <c r="G97" s="678">
        <v>0</v>
      </c>
      <c r="H97" s="627">
        <v>0</v>
      </c>
      <c r="I97" s="627">
        <v>0</v>
      </c>
      <c r="J97" s="628">
        <v>0</v>
      </c>
      <c r="K97" s="629">
        <v>0</v>
      </c>
      <c r="L97" s="630">
        <v>0</v>
      </c>
      <c r="M97" s="631">
        <v>0</v>
      </c>
      <c r="N97" s="632">
        <v>0</v>
      </c>
      <c r="O97" s="633">
        <v>0</v>
      </c>
      <c r="P97" s="634">
        <v>0</v>
      </c>
      <c r="Q97" s="679">
        <v>0</v>
      </c>
      <c r="R97" s="625">
        <v>0</v>
      </c>
      <c r="S97" s="598">
        <f t="shared" si="13"/>
        <v>0</v>
      </c>
      <c r="T97" s="572"/>
      <c r="U97" s="607"/>
      <c r="V97" s="607"/>
      <c r="W97" s="607"/>
      <c r="X97" s="607"/>
      <c r="Y97" s="585"/>
      <c r="Z97" s="585"/>
    </row>
    <row r="98" spans="1:26">
      <c r="A98" s="568" t="s">
        <v>511</v>
      </c>
      <c r="B98" s="568" t="s">
        <v>512</v>
      </c>
      <c r="C98" s="593">
        <v>89</v>
      </c>
      <c r="D98" s="680" t="s">
        <v>513</v>
      </c>
      <c r="E98" s="595" t="s">
        <v>514</v>
      </c>
      <c r="F98" s="625">
        <v>0</v>
      </c>
      <c r="G98" s="678">
        <v>0</v>
      </c>
      <c r="H98" s="627">
        <v>0</v>
      </c>
      <c r="I98" s="627">
        <v>0</v>
      </c>
      <c r="J98" s="628">
        <v>0</v>
      </c>
      <c r="K98" s="629">
        <v>0</v>
      </c>
      <c r="L98" s="630">
        <v>0</v>
      </c>
      <c r="M98" s="631">
        <v>0</v>
      </c>
      <c r="N98" s="632">
        <v>0</v>
      </c>
      <c r="O98" s="633">
        <v>0</v>
      </c>
      <c r="P98" s="634">
        <v>0</v>
      </c>
      <c r="Q98" s="679">
        <v>0</v>
      </c>
      <c r="R98" s="625">
        <v>0</v>
      </c>
      <c r="S98" s="598">
        <f t="shared" si="13"/>
        <v>0</v>
      </c>
      <c r="T98" s="572"/>
      <c r="U98" s="607"/>
      <c r="V98" s="607"/>
      <c r="W98" s="607"/>
      <c r="X98" s="607"/>
      <c r="Y98" s="585"/>
      <c r="Z98" s="585"/>
    </row>
    <row r="99" spans="1:26">
      <c r="A99" s="568"/>
      <c r="B99" s="568"/>
      <c r="C99" s="593">
        <v>90</v>
      </c>
      <c r="D99" s="570"/>
      <c r="E99" s="595"/>
      <c r="F99" s="609"/>
      <c r="G99" s="681"/>
      <c r="H99" s="611"/>
      <c r="I99" s="611"/>
      <c r="J99" s="612"/>
      <c r="K99" s="613"/>
      <c r="L99" s="614"/>
      <c r="M99" s="615"/>
      <c r="N99" s="616"/>
      <c r="O99" s="617"/>
      <c r="P99" s="618"/>
      <c r="Q99" s="682"/>
      <c r="R99" s="609"/>
      <c r="S99" s="598">
        <f t="shared" si="13"/>
        <v>0</v>
      </c>
      <c r="T99" s="572"/>
      <c r="U99" s="607"/>
      <c r="V99" s="607"/>
      <c r="W99" s="607"/>
      <c r="X99" s="607"/>
      <c r="Y99" s="585"/>
      <c r="Z99" s="585"/>
    </row>
    <row r="100" spans="1:26">
      <c r="A100" s="592"/>
      <c r="B100" s="592"/>
      <c r="C100" s="593">
        <v>91</v>
      </c>
      <c r="D100" s="594"/>
      <c r="E100" s="595" t="s">
        <v>515</v>
      </c>
      <c r="F100" s="620">
        <f>SUM(F92:F98)</f>
        <v>3572977.82</v>
      </c>
      <c r="G100" s="620">
        <f t="shared" ref="G100:S100" si="17">SUM(G92:G98)</f>
        <v>4127061.38</v>
      </c>
      <c r="H100" s="620">
        <f t="shared" si="17"/>
        <v>3606828.6100000003</v>
      </c>
      <c r="I100" s="620">
        <f t="shared" si="17"/>
        <v>1700315.7999999998</v>
      </c>
      <c r="J100" s="620">
        <f t="shared" si="17"/>
        <v>1456366.25</v>
      </c>
      <c r="K100" s="620">
        <f t="shared" si="17"/>
        <v>2110392.84</v>
      </c>
      <c r="L100" s="620">
        <f t="shared" si="17"/>
        <v>2112776.0299999998</v>
      </c>
      <c r="M100" s="620">
        <f t="shared" si="17"/>
        <v>2520228.5099999998</v>
      </c>
      <c r="N100" s="620">
        <f t="shared" si="17"/>
        <v>3020096.9600000004</v>
      </c>
      <c r="O100" s="620">
        <f t="shared" si="17"/>
        <v>3896683.2100000004</v>
      </c>
      <c r="P100" s="620">
        <f t="shared" si="17"/>
        <v>3566283.27</v>
      </c>
      <c r="Q100" s="620">
        <f t="shared" si="17"/>
        <v>4421590.8099999996</v>
      </c>
      <c r="R100" s="620">
        <f t="shared" si="17"/>
        <v>2456769.61</v>
      </c>
      <c r="S100" s="620">
        <f t="shared" si="17"/>
        <v>2962791.4487500004</v>
      </c>
      <c r="T100" s="572"/>
      <c r="U100" s="607"/>
      <c r="V100" s="607"/>
      <c r="W100" s="607"/>
      <c r="X100" s="608">
        <f>S100</f>
        <v>2962791.4487500004</v>
      </c>
      <c r="Y100" s="585"/>
      <c r="Z100" s="585"/>
    </row>
    <row r="101" spans="1:26">
      <c r="A101" s="592"/>
      <c r="B101" s="592"/>
      <c r="C101" s="593">
        <v>92</v>
      </c>
      <c r="D101" s="594"/>
      <c r="E101" s="650"/>
      <c r="F101" s="596"/>
      <c r="G101" s="678"/>
      <c r="H101" s="598"/>
      <c r="I101" s="598"/>
      <c r="J101" s="599"/>
      <c r="K101" s="600"/>
      <c r="L101" s="601"/>
      <c r="M101" s="602"/>
      <c r="N101" s="603"/>
      <c r="O101" s="604"/>
      <c r="P101" s="605"/>
      <c r="Q101" s="679"/>
      <c r="R101" s="596"/>
      <c r="S101" s="598">
        <f t="shared" si="13"/>
        <v>0</v>
      </c>
      <c r="T101" s="572"/>
      <c r="U101" s="607"/>
      <c r="V101" s="607"/>
      <c r="W101" s="607"/>
      <c r="X101" s="607"/>
      <c r="Y101" s="585"/>
      <c r="Z101" s="585"/>
    </row>
    <row r="102" spans="1:26">
      <c r="A102" s="592" t="s">
        <v>516</v>
      </c>
      <c r="B102" s="592" t="s">
        <v>398</v>
      </c>
      <c r="C102" s="593">
        <v>93</v>
      </c>
      <c r="D102" s="594" t="str">
        <f>+A102</f>
        <v>1732</v>
      </c>
      <c r="E102" s="595" t="s">
        <v>517</v>
      </c>
      <c r="F102" s="596">
        <v>28632000.649999999</v>
      </c>
      <c r="G102" s="678">
        <v>24626907.170000002</v>
      </c>
      <c r="H102" s="598">
        <v>19166796.309999999</v>
      </c>
      <c r="I102" s="598">
        <v>14583859.439999999</v>
      </c>
      <c r="J102" s="599">
        <v>8270183.4000000004</v>
      </c>
      <c r="K102" s="600">
        <v>6024538.3700000001</v>
      </c>
      <c r="L102" s="601">
        <v>4191688.79</v>
      </c>
      <c r="M102" s="602">
        <v>3736720.02</v>
      </c>
      <c r="N102" s="603">
        <v>3243044.16</v>
      </c>
      <c r="O102" s="604">
        <v>4215111.09</v>
      </c>
      <c r="P102" s="605">
        <v>10117737.65</v>
      </c>
      <c r="Q102" s="679">
        <v>16812988.379999999</v>
      </c>
      <c r="R102" s="596">
        <v>32058629.699999999</v>
      </c>
      <c r="S102" s="598">
        <f t="shared" si="13"/>
        <v>12111240.829583332</v>
      </c>
      <c r="T102" s="572"/>
      <c r="U102" s="607"/>
      <c r="V102" s="607"/>
      <c r="W102" s="607"/>
      <c r="X102" s="607"/>
      <c r="Y102" s="585"/>
      <c r="Z102" s="585"/>
    </row>
    <row r="103" spans="1:26">
      <c r="A103" s="592" t="s">
        <v>518</v>
      </c>
      <c r="B103" s="592" t="s">
        <v>398</v>
      </c>
      <c r="C103" s="593">
        <v>94</v>
      </c>
      <c r="D103" s="594" t="str">
        <f>+A103</f>
        <v>1734</v>
      </c>
      <c r="E103" s="595" t="s">
        <v>519</v>
      </c>
      <c r="F103" s="622">
        <v>2108331.48</v>
      </c>
      <c r="G103" s="622">
        <v>2156906.9</v>
      </c>
      <c r="H103" s="622">
        <v>2045199.74</v>
      </c>
      <c r="I103" s="622">
        <v>1946728.53</v>
      </c>
      <c r="J103" s="622">
        <v>1855546.01</v>
      </c>
      <c r="K103" s="622">
        <v>1897697.16</v>
      </c>
      <c r="L103" s="622">
        <v>1936068.23</v>
      </c>
      <c r="M103" s="622">
        <v>1986725.15</v>
      </c>
      <c r="N103" s="622">
        <v>2148185.7000000002</v>
      </c>
      <c r="O103" s="624">
        <v>2331237.4</v>
      </c>
      <c r="P103" s="622">
        <v>2288200.34</v>
      </c>
      <c r="Q103" s="622">
        <v>2267355.81</v>
      </c>
      <c r="R103" s="622">
        <v>2463652.9500000002</v>
      </c>
      <c r="S103" s="598">
        <f t="shared" si="13"/>
        <v>2095486.9320833331</v>
      </c>
      <c r="T103" s="572"/>
      <c r="U103" s="607"/>
      <c r="V103" s="607"/>
      <c r="W103" s="607"/>
      <c r="X103" s="607"/>
      <c r="Y103" s="585"/>
      <c r="Z103" s="585"/>
    </row>
    <row r="104" spans="1:26">
      <c r="A104" s="592"/>
      <c r="B104" s="592"/>
      <c r="C104" s="593">
        <v>95</v>
      </c>
      <c r="D104" s="594"/>
      <c r="E104" s="595" t="s">
        <v>520</v>
      </c>
      <c r="F104" s="620">
        <f>+F102+F103</f>
        <v>30740332.129999999</v>
      </c>
      <c r="G104" s="620">
        <f t="shared" ref="G104:S104" si="18">+G102+G103</f>
        <v>26783814.07</v>
      </c>
      <c r="H104" s="620">
        <f t="shared" si="18"/>
        <v>21211996.049999997</v>
      </c>
      <c r="I104" s="620">
        <f t="shared" si="18"/>
        <v>16530587.969999999</v>
      </c>
      <c r="J104" s="620">
        <f t="shared" si="18"/>
        <v>10125729.41</v>
      </c>
      <c r="K104" s="620">
        <f t="shared" si="18"/>
        <v>7922235.5300000003</v>
      </c>
      <c r="L104" s="620">
        <f t="shared" si="18"/>
        <v>6127757.0199999996</v>
      </c>
      <c r="M104" s="620">
        <f t="shared" si="18"/>
        <v>5723445.1699999999</v>
      </c>
      <c r="N104" s="620">
        <f t="shared" si="18"/>
        <v>5391229.8600000003</v>
      </c>
      <c r="O104" s="620">
        <f t="shared" si="18"/>
        <v>6546348.4900000002</v>
      </c>
      <c r="P104" s="620">
        <f t="shared" si="18"/>
        <v>12405937.99</v>
      </c>
      <c r="Q104" s="620">
        <f t="shared" si="18"/>
        <v>19080344.189999998</v>
      </c>
      <c r="R104" s="620">
        <f t="shared" si="18"/>
        <v>34522282.649999999</v>
      </c>
      <c r="S104" s="620">
        <f t="shared" si="18"/>
        <v>14206727.761666665</v>
      </c>
      <c r="T104" s="572"/>
      <c r="U104" s="608"/>
      <c r="V104" s="607"/>
      <c r="W104" s="607"/>
      <c r="X104" s="608">
        <f>S104</f>
        <v>14206727.761666665</v>
      </c>
      <c r="Y104" s="585"/>
      <c r="Z104" s="585"/>
    </row>
    <row r="105" spans="1:26">
      <c r="A105" s="592"/>
      <c r="B105" s="592"/>
      <c r="C105" s="593">
        <v>96</v>
      </c>
      <c r="D105" s="594"/>
      <c r="E105" s="650"/>
      <c r="F105" s="596"/>
      <c r="G105" s="678"/>
      <c r="H105" s="598"/>
      <c r="I105" s="598"/>
      <c r="J105" s="599"/>
      <c r="K105" s="600"/>
      <c r="L105" s="601"/>
      <c r="M105" s="602"/>
      <c r="N105" s="603"/>
      <c r="O105" s="604"/>
      <c r="P105" s="605"/>
      <c r="Q105" s="679"/>
      <c r="R105" s="596"/>
      <c r="S105" s="598">
        <f t="shared" si="13"/>
        <v>0</v>
      </c>
      <c r="T105" s="572"/>
      <c r="U105" s="607"/>
      <c r="V105" s="607"/>
      <c r="W105" s="607"/>
      <c r="X105" s="607"/>
      <c r="Y105" s="585"/>
      <c r="Z105" s="585"/>
    </row>
    <row r="106" spans="1:26">
      <c r="A106" s="592" t="s">
        <v>521</v>
      </c>
      <c r="B106" s="592" t="s">
        <v>522</v>
      </c>
      <c r="C106" s="593">
        <v>97</v>
      </c>
      <c r="D106" s="594" t="str">
        <f>A106&amp;"."&amp;B106</f>
        <v>1900.[/*6*]</v>
      </c>
      <c r="E106" s="595" t="s">
        <v>523</v>
      </c>
      <c r="F106" s="596">
        <v>1686166.53</v>
      </c>
      <c r="G106" s="678">
        <v>1768090.12</v>
      </c>
      <c r="H106" s="598">
        <v>1850013.76</v>
      </c>
      <c r="I106" s="598">
        <v>1949363.44</v>
      </c>
      <c r="J106" s="599">
        <v>2032506.72</v>
      </c>
      <c r="K106" s="600">
        <v>2115649.98</v>
      </c>
      <c r="L106" s="601">
        <v>2191057.2599999998</v>
      </c>
      <c r="M106" s="602">
        <v>2272911.42</v>
      </c>
      <c r="N106" s="603">
        <v>2354765.66</v>
      </c>
      <c r="O106" s="604">
        <v>2425610.87</v>
      </c>
      <c r="P106" s="605">
        <v>0</v>
      </c>
      <c r="Q106" s="679">
        <v>0</v>
      </c>
      <c r="R106" s="596">
        <v>0</v>
      </c>
      <c r="S106" s="598">
        <f t="shared" si="13"/>
        <v>1650254.3745833335</v>
      </c>
      <c r="T106" s="572"/>
      <c r="U106" s="607"/>
      <c r="V106" s="607"/>
      <c r="W106" s="608"/>
      <c r="X106" s="608">
        <f>S106</f>
        <v>1650254.3745833335</v>
      </c>
      <c r="Y106" s="585"/>
      <c r="Z106" s="585"/>
    </row>
    <row r="107" spans="1:26">
      <c r="A107" s="592" t="s">
        <v>521</v>
      </c>
      <c r="B107" s="592" t="s">
        <v>524</v>
      </c>
      <c r="C107" s="593">
        <v>98</v>
      </c>
      <c r="D107" s="594" t="str">
        <f>A107&amp;"."&amp;B107</f>
        <v>1900.[*6*]</v>
      </c>
      <c r="E107" s="595" t="s">
        <v>525</v>
      </c>
      <c r="F107" s="596">
        <v>24705631</v>
      </c>
      <c r="G107" s="678">
        <v>24634848.52</v>
      </c>
      <c r="H107" s="598">
        <v>24564065.989999998</v>
      </c>
      <c r="I107" s="598">
        <v>24640601.559999999</v>
      </c>
      <c r="J107" s="599">
        <v>24569226.82</v>
      </c>
      <c r="K107" s="600">
        <v>24497852.09</v>
      </c>
      <c r="L107" s="601">
        <v>24350956.390000001</v>
      </c>
      <c r="M107" s="602">
        <v>24266971.73</v>
      </c>
      <c r="N107" s="603">
        <v>24182987.050000001</v>
      </c>
      <c r="O107" s="604">
        <v>24107703.920000002</v>
      </c>
      <c r="P107" s="605">
        <v>26704947.27</v>
      </c>
      <c r="Q107" s="679">
        <v>26662110.949999999</v>
      </c>
      <c r="R107" s="596">
        <v>26488326.940000001</v>
      </c>
      <c r="S107" s="598">
        <f t="shared" si="13"/>
        <v>24898270.938333333</v>
      </c>
      <c r="T107" s="572"/>
      <c r="U107" s="607"/>
      <c r="V107" s="607"/>
      <c r="W107" s="608"/>
      <c r="X107" s="608">
        <f>S107</f>
        <v>24898270.938333333</v>
      </c>
      <c r="Y107" s="585"/>
      <c r="Z107" s="585"/>
    </row>
    <row r="108" spans="1:26">
      <c r="A108" s="592"/>
      <c r="B108" s="592"/>
      <c r="C108" s="593">
        <v>99</v>
      </c>
      <c r="D108" s="594"/>
      <c r="E108" s="650"/>
      <c r="F108" s="596"/>
      <c r="G108" s="678"/>
      <c r="H108" s="598"/>
      <c r="I108" s="598"/>
      <c r="J108" s="599"/>
      <c r="K108" s="600"/>
      <c r="L108" s="601"/>
      <c r="M108" s="602"/>
      <c r="N108" s="603"/>
      <c r="O108" s="604"/>
      <c r="P108" s="605"/>
      <c r="Q108" s="679"/>
      <c r="R108" s="596"/>
      <c r="S108" s="598">
        <f t="shared" si="13"/>
        <v>0</v>
      </c>
      <c r="T108" s="572"/>
      <c r="U108" s="607"/>
      <c r="V108" s="607"/>
      <c r="W108" s="607"/>
      <c r="X108" s="607"/>
      <c r="Y108" s="585"/>
      <c r="Z108" s="585"/>
    </row>
    <row r="109" spans="1:26">
      <c r="A109" s="592" t="s">
        <v>526</v>
      </c>
      <c r="B109" s="592" t="s">
        <v>398</v>
      </c>
      <c r="C109" s="593">
        <v>100</v>
      </c>
      <c r="D109" s="594" t="str">
        <f>+A109</f>
        <v>1910</v>
      </c>
      <c r="E109" s="595" t="s">
        <v>527</v>
      </c>
      <c r="F109" s="596">
        <v>0</v>
      </c>
      <c r="G109" s="678">
        <v>0</v>
      </c>
      <c r="H109" s="598">
        <v>0</v>
      </c>
      <c r="I109" s="598">
        <v>0</v>
      </c>
      <c r="J109" s="599">
        <v>0</v>
      </c>
      <c r="K109" s="600">
        <v>0</v>
      </c>
      <c r="L109" s="601">
        <v>0</v>
      </c>
      <c r="M109" s="602">
        <v>0</v>
      </c>
      <c r="N109" s="603">
        <v>0</v>
      </c>
      <c r="O109" s="604">
        <v>0</v>
      </c>
      <c r="P109" s="605">
        <v>0</v>
      </c>
      <c r="Q109" s="679">
        <v>0</v>
      </c>
      <c r="R109" s="596">
        <v>318120.33</v>
      </c>
      <c r="S109" s="598">
        <f t="shared" si="13"/>
        <v>13255.01375</v>
      </c>
      <c r="T109" s="572"/>
      <c r="U109" s="607"/>
      <c r="V109" s="607"/>
      <c r="W109" s="608">
        <f>S109</f>
        <v>13255.01375</v>
      </c>
      <c r="X109" s="607"/>
      <c r="Y109" s="585"/>
      <c r="Z109" s="585"/>
    </row>
    <row r="110" spans="1:26">
      <c r="A110" s="592"/>
      <c r="B110" s="592"/>
      <c r="C110" s="593">
        <v>101</v>
      </c>
      <c r="D110" s="594"/>
      <c r="E110" s="650"/>
      <c r="F110" s="596"/>
      <c r="G110" s="678"/>
      <c r="H110" s="598"/>
      <c r="I110" s="598"/>
      <c r="J110" s="599"/>
      <c r="K110" s="600"/>
      <c r="L110" s="601"/>
      <c r="M110" s="602"/>
      <c r="N110" s="603"/>
      <c r="O110" s="604"/>
      <c r="P110" s="605"/>
      <c r="Q110" s="679"/>
      <c r="R110" s="596"/>
      <c r="S110" s="598">
        <f t="shared" si="13"/>
        <v>0</v>
      </c>
      <c r="T110" s="572"/>
      <c r="U110" s="607"/>
      <c r="V110" s="607"/>
      <c r="W110" s="607"/>
      <c r="X110" s="607"/>
      <c r="Y110" s="585"/>
      <c r="Z110" s="585"/>
    </row>
    <row r="111" spans="1:26">
      <c r="A111" s="592" t="s">
        <v>528</v>
      </c>
      <c r="B111" s="592" t="s">
        <v>529</v>
      </c>
      <c r="C111" s="593">
        <v>102</v>
      </c>
      <c r="D111" s="594" t="str">
        <f t="shared" ref="D111:D123" si="19">A111&amp;"."&amp;B111</f>
        <v>1810.12</v>
      </c>
      <c r="E111" s="595" t="s">
        <v>530</v>
      </c>
      <c r="F111" s="596">
        <v>78604.129999999903</v>
      </c>
      <c r="G111" s="678">
        <v>78044.67</v>
      </c>
      <c r="H111" s="598">
        <v>77485.210000000006</v>
      </c>
      <c r="I111" s="598">
        <v>76925.75</v>
      </c>
      <c r="J111" s="599">
        <v>76366.289999999994</v>
      </c>
      <c r="K111" s="600">
        <v>75806.83</v>
      </c>
      <c r="L111" s="601">
        <v>75247.37</v>
      </c>
      <c r="M111" s="602">
        <v>74687.91</v>
      </c>
      <c r="N111" s="603">
        <v>74128.45</v>
      </c>
      <c r="O111" s="604">
        <v>73568.989999999903</v>
      </c>
      <c r="P111" s="605">
        <v>73009.529999999897</v>
      </c>
      <c r="Q111" s="679">
        <v>72450.069999999905</v>
      </c>
      <c r="R111" s="596">
        <v>71890.609999999899</v>
      </c>
      <c r="S111" s="598">
        <f t="shared" si="13"/>
        <v>75247.369999999966</v>
      </c>
      <c r="T111" s="572"/>
      <c r="U111" s="607"/>
      <c r="V111" s="607"/>
      <c r="W111" s="607"/>
      <c r="X111" s="607"/>
      <c r="Y111" s="585"/>
      <c r="Z111" s="585"/>
    </row>
    <row r="112" spans="1:26">
      <c r="A112" s="592" t="s">
        <v>528</v>
      </c>
      <c r="B112" s="592" t="s">
        <v>531</v>
      </c>
      <c r="C112" s="593">
        <v>103</v>
      </c>
      <c r="D112" s="594" t="str">
        <f t="shared" si="19"/>
        <v>1810.13</v>
      </c>
      <c r="E112" s="595" t="s">
        <v>532</v>
      </c>
      <c r="F112" s="596">
        <v>66295.419999999896</v>
      </c>
      <c r="G112" s="678">
        <v>65875.820000000007</v>
      </c>
      <c r="H112" s="598">
        <v>65456.22</v>
      </c>
      <c r="I112" s="598">
        <v>65036.62</v>
      </c>
      <c r="J112" s="599">
        <v>64617.02</v>
      </c>
      <c r="K112" s="600">
        <v>64197.42</v>
      </c>
      <c r="L112" s="601">
        <v>63777.82</v>
      </c>
      <c r="M112" s="602">
        <v>63358.22</v>
      </c>
      <c r="N112" s="603">
        <v>62938.62</v>
      </c>
      <c r="O112" s="604">
        <v>62519.02</v>
      </c>
      <c r="P112" s="605">
        <v>62099.42</v>
      </c>
      <c r="Q112" s="679">
        <v>61679.82</v>
      </c>
      <c r="R112" s="596">
        <v>61260.22</v>
      </c>
      <c r="S112" s="598">
        <f t="shared" si="13"/>
        <v>63777.82</v>
      </c>
      <c r="T112" s="572"/>
      <c r="U112" s="607"/>
      <c r="V112" s="607"/>
      <c r="W112" s="607"/>
      <c r="X112" s="607"/>
      <c r="Y112" s="585"/>
      <c r="Z112" s="585"/>
    </row>
    <row r="113" spans="1:26">
      <c r="A113" s="592" t="s">
        <v>528</v>
      </c>
      <c r="B113" s="592" t="s">
        <v>533</v>
      </c>
      <c r="C113" s="593">
        <v>104</v>
      </c>
      <c r="D113" s="594" t="str">
        <f t="shared" si="19"/>
        <v>1810.17</v>
      </c>
      <c r="E113" s="595" t="s">
        <v>534</v>
      </c>
      <c r="F113" s="596">
        <v>1240690.05</v>
      </c>
      <c r="G113" s="678">
        <v>1235272.18</v>
      </c>
      <c r="H113" s="598">
        <v>1229854.31</v>
      </c>
      <c r="I113" s="598">
        <v>1224436.44</v>
      </c>
      <c r="J113" s="599">
        <v>1219018.57</v>
      </c>
      <c r="K113" s="600">
        <v>1213600.7</v>
      </c>
      <c r="L113" s="601">
        <v>1208182.83</v>
      </c>
      <c r="M113" s="602">
        <v>1202764.96</v>
      </c>
      <c r="N113" s="603">
        <v>1197347.0900000001</v>
      </c>
      <c r="O113" s="604">
        <v>1191929.22</v>
      </c>
      <c r="P113" s="605">
        <v>1186511.3500000001</v>
      </c>
      <c r="Q113" s="679">
        <v>1181093.48</v>
      </c>
      <c r="R113" s="596">
        <v>1175675.6100000001</v>
      </c>
      <c r="S113" s="598">
        <f t="shared" si="13"/>
        <v>1208182.83</v>
      </c>
      <c r="T113" s="572"/>
      <c r="U113" s="607"/>
      <c r="V113" s="607"/>
      <c r="W113" s="607"/>
      <c r="X113" s="607"/>
      <c r="Y113" s="585"/>
      <c r="Z113" s="585"/>
    </row>
    <row r="114" spans="1:26">
      <c r="A114" s="592" t="s">
        <v>528</v>
      </c>
      <c r="B114" s="592" t="s">
        <v>535</v>
      </c>
      <c r="C114" s="593">
        <v>105</v>
      </c>
      <c r="D114" s="594" t="str">
        <f t="shared" si="19"/>
        <v>1810.18</v>
      </c>
      <c r="E114" s="595" t="s">
        <v>536</v>
      </c>
      <c r="F114" s="596">
        <v>73826.64</v>
      </c>
      <c r="G114" s="678">
        <v>72478.58</v>
      </c>
      <c r="H114" s="598">
        <v>71130.52</v>
      </c>
      <c r="I114" s="598">
        <v>69782.460000000006</v>
      </c>
      <c r="J114" s="599">
        <v>68434.399999999994</v>
      </c>
      <c r="K114" s="600">
        <v>67086.34</v>
      </c>
      <c r="L114" s="601">
        <v>65738.28</v>
      </c>
      <c r="M114" s="602">
        <v>64390.22</v>
      </c>
      <c r="N114" s="603">
        <v>63042.16</v>
      </c>
      <c r="O114" s="604">
        <v>61694.1</v>
      </c>
      <c r="P114" s="605">
        <v>60346.04</v>
      </c>
      <c r="Q114" s="679">
        <v>58997.98</v>
      </c>
      <c r="R114" s="596">
        <v>57649.919999999998</v>
      </c>
      <c r="S114" s="598">
        <f t="shared" si="13"/>
        <v>65738.28</v>
      </c>
      <c r="T114" s="572"/>
      <c r="U114" s="607"/>
      <c r="V114" s="607"/>
      <c r="W114" s="607"/>
      <c r="X114" s="607"/>
      <c r="Y114" s="585"/>
      <c r="Z114" s="585"/>
    </row>
    <row r="115" spans="1:26">
      <c r="A115" s="592" t="s">
        <v>528</v>
      </c>
      <c r="B115" s="592" t="s">
        <v>537</v>
      </c>
      <c r="C115" s="593">
        <v>106</v>
      </c>
      <c r="D115" s="594" t="str">
        <f t="shared" si="19"/>
        <v>1810.19</v>
      </c>
      <c r="E115" s="595" t="s">
        <v>538</v>
      </c>
      <c r="F115" s="596">
        <v>164515.07999999999</v>
      </c>
      <c r="G115" s="678">
        <v>163867.57999999999</v>
      </c>
      <c r="H115" s="598">
        <v>163220.07999999999</v>
      </c>
      <c r="I115" s="598">
        <v>162572.57999999999</v>
      </c>
      <c r="J115" s="599">
        <v>161925.07999999999</v>
      </c>
      <c r="K115" s="600">
        <v>161277.57999999999</v>
      </c>
      <c r="L115" s="601">
        <v>160630.07999999999</v>
      </c>
      <c r="M115" s="602">
        <v>159982.57999999999</v>
      </c>
      <c r="N115" s="603">
        <v>159335.07999999999</v>
      </c>
      <c r="O115" s="604">
        <v>158687.57999999999</v>
      </c>
      <c r="P115" s="605">
        <v>158040.07999999999</v>
      </c>
      <c r="Q115" s="679">
        <v>157392.57999999999</v>
      </c>
      <c r="R115" s="596">
        <v>156745.07999999999</v>
      </c>
      <c r="S115" s="598">
        <f t="shared" si="13"/>
        <v>160630.08000000002</v>
      </c>
      <c r="T115" s="572"/>
      <c r="U115" s="607"/>
      <c r="V115" s="607"/>
      <c r="W115" s="607"/>
      <c r="X115" s="607"/>
      <c r="Y115" s="585"/>
      <c r="Z115" s="585"/>
    </row>
    <row r="116" spans="1:26">
      <c r="A116" s="592" t="s">
        <v>528</v>
      </c>
      <c r="B116" s="592" t="s">
        <v>539</v>
      </c>
      <c r="C116" s="593">
        <v>107</v>
      </c>
      <c r="D116" s="594" t="str">
        <f t="shared" si="19"/>
        <v>1810.20</v>
      </c>
      <c r="E116" s="683" t="s">
        <v>540</v>
      </c>
      <c r="F116" s="596">
        <v>120596.71</v>
      </c>
      <c r="G116" s="678">
        <v>119548.04</v>
      </c>
      <c r="H116" s="598">
        <v>118499.37</v>
      </c>
      <c r="I116" s="598">
        <v>117450.7</v>
      </c>
      <c r="J116" s="599">
        <v>116402.03</v>
      </c>
      <c r="K116" s="600">
        <v>115353.36</v>
      </c>
      <c r="L116" s="601">
        <v>114304.69</v>
      </c>
      <c r="M116" s="602">
        <v>113256.02</v>
      </c>
      <c r="N116" s="603">
        <v>112207.35</v>
      </c>
      <c r="O116" s="604">
        <v>111158.68</v>
      </c>
      <c r="P116" s="605">
        <v>110110.01</v>
      </c>
      <c r="Q116" s="679">
        <v>109061.34</v>
      </c>
      <c r="R116" s="596">
        <v>108012.67</v>
      </c>
      <c r="S116" s="598">
        <f t="shared" si="13"/>
        <v>114304.69</v>
      </c>
      <c r="T116" s="572"/>
      <c r="U116" s="607"/>
      <c r="V116" s="607"/>
      <c r="W116" s="607"/>
      <c r="X116" s="607"/>
      <c r="Y116" s="585"/>
      <c r="Z116" s="585"/>
    </row>
    <row r="117" spans="1:26">
      <c r="A117" s="592" t="s">
        <v>528</v>
      </c>
      <c r="B117" s="592" t="s">
        <v>541</v>
      </c>
      <c r="C117" s="593">
        <v>108</v>
      </c>
      <c r="D117" s="594" t="str">
        <f t="shared" si="19"/>
        <v>1810.21</v>
      </c>
      <c r="E117" s="683" t="s">
        <v>542</v>
      </c>
      <c r="F117" s="596">
        <v>126678.97</v>
      </c>
      <c r="G117" s="678">
        <v>125840.04</v>
      </c>
      <c r="H117" s="598">
        <v>125001.11</v>
      </c>
      <c r="I117" s="598">
        <v>124162.18</v>
      </c>
      <c r="J117" s="599">
        <v>123323.25</v>
      </c>
      <c r="K117" s="600">
        <v>122484.32</v>
      </c>
      <c r="L117" s="601">
        <v>121645.39</v>
      </c>
      <c r="M117" s="602">
        <v>120806.46</v>
      </c>
      <c r="N117" s="603">
        <v>119967.53</v>
      </c>
      <c r="O117" s="604">
        <v>119128.6</v>
      </c>
      <c r="P117" s="605">
        <v>118289.67</v>
      </c>
      <c r="Q117" s="679">
        <v>117450.74</v>
      </c>
      <c r="R117" s="596">
        <v>116611.81</v>
      </c>
      <c r="S117" s="598">
        <f t="shared" si="13"/>
        <v>121645.38999999997</v>
      </c>
      <c r="T117" s="572"/>
      <c r="U117" s="607"/>
      <c r="V117" s="607"/>
      <c r="W117" s="607"/>
      <c r="X117" s="607"/>
      <c r="Y117" s="585"/>
      <c r="Z117" s="585"/>
    </row>
    <row r="118" spans="1:26">
      <c r="A118" s="592" t="s">
        <v>528</v>
      </c>
      <c r="B118" s="592" t="s">
        <v>502</v>
      </c>
      <c r="C118" s="593">
        <v>109</v>
      </c>
      <c r="D118" s="594" t="str">
        <f t="shared" si="19"/>
        <v>1810.22</v>
      </c>
      <c r="E118" s="683" t="s">
        <v>543</v>
      </c>
      <c r="F118" s="625">
        <v>103750.1</v>
      </c>
      <c r="G118" s="678">
        <v>100291.77</v>
      </c>
      <c r="H118" s="627">
        <v>96833.44</v>
      </c>
      <c r="I118" s="627">
        <v>93375.11</v>
      </c>
      <c r="J118" s="628">
        <v>89916.78</v>
      </c>
      <c r="K118" s="629">
        <v>86458.45</v>
      </c>
      <c r="L118" s="630">
        <v>83000.12</v>
      </c>
      <c r="M118" s="631">
        <v>79541.789999999994</v>
      </c>
      <c r="N118" s="632">
        <v>76083.460000000006</v>
      </c>
      <c r="O118" s="633">
        <v>72625.13</v>
      </c>
      <c r="P118" s="634">
        <v>69166.8</v>
      </c>
      <c r="Q118" s="684">
        <v>65708.47</v>
      </c>
      <c r="R118" s="625">
        <v>62250.14</v>
      </c>
      <c r="S118" s="598">
        <f t="shared" si="13"/>
        <v>83000.12</v>
      </c>
      <c r="T118" s="572"/>
      <c r="U118" s="607"/>
      <c r="V118" s="607"/>
      <c r="W118" s="607"/>
      <c r="X118" s="607"/>
      <c r="Y118" s="585"/>
      <c r="Z118" s="585"/>
    </row>
    <row r="119" spans="1:26">
      <c r="A119" s="592" t="s">
        <v>528</v>
      </c>
      <c r="B119" s="592" t="s">
        <v>544</v>
      </c>
      <c r="C119" s="593">
        <v>110</v>
      </c>
      <c r="D119" s="594" t="str">
        <f t="shared" si="19"/>
        <v>1810.23</v>
      </c>
      <c r="E119" s="683" t="s">
        <v>545</v>
      </c>
      <c r="F119" s="633">
        <v>61144.39</v>
      </c>
      <c r="G119" s="604">
        <v>60967.67</v>
      </c>
      <c r="H119" s="604">
        <v>60790.95</v>
      </c>
      <c r="I119" s="604">
        <v>59506.01</v>
      </c>
      <c r="J119" s="673">
        <v>59332.52</v>
      </c>
      <c r="K119" s="673">
        <v>59159.03</v>
      </c>
      <c r="L119" s="604">
        <v>58985.54</v>
      </c>
      <c r="M119" s="604">
        <v>58812.05</v>
      </c>
      <c r="N119" s="604">
        <v>58638.559999999998</v>
      </c>
      <c r="O119" s="604">
        <v>58465.07</v>
      </c>
      <c r="P119" s="633">
        <v>58291.58</v>
      </c>
      <c r="Q119" s="633">
        <v>58118.09</v>
      </c>
      <c r="R119" s="633">
        <v>57944.6</v>
      </c>
      <c r="S119" s="598">
        <f t="shared" si="13"/>
        <v>59217.630416666652</v>
      </c>
      <c r="T119" s="572"/>
      <c r="U119" s="607"/>
      <c r="V119" s="607"/>
      <c r="W119" s="607"/>
      <c r="X119" s="607"/>
      <c r="Y119" s="585"/>
      <c r="Z119" s="585"/>
    </row>
    <row r="120" spans="1:26">
      <c r="A120" s="592" t="s">
        <v>528</v>
      </c>
      <c r="B120" s="592" t="s">
        <v>546</v>
      </c>
      <c r="C120" s="593">
        <v>111</v>
      </c>
      <c r="D120" s="594" t="str">
        <f t="shared" si="19"/>
        <v>1810.24</v>
      </c>
      <c r="E120" s="683" t="s">
        <v>547</v>
      </c>
      <c r="F120" s="633">
        <v>60452.25</v>
      </c>
      <c r="G120" s="604">
        <v>60322.52</v>
      </c>
      <c r="H120" s="604">
        <v>60192.79</v>
      </c>
      <c r="I120" s="604">
        <v>58941.24</v>
      </c>
      <c r="J120" s="673">
        <v>58813.94</v>
      </c>
      <c r="K120" s="673">
        <v>58686.64</v>
      </c>
      <c r="L120" s="604">
        <v>58559.34</v>
      </c>
      <c r="M120" s="604">
        <v>58432.04</v>
      </c>
      <c r="N120" s="604">
        <v>58304.74</v>
      </c>
      <c r="O120" s="633">
        <v>58177.440000000002</v>
      </c>
      <c r="P120" s="633">
        <v>58050.14</v>
      </c>
      <c r="Q120" s="633">
        <v>57922.84</v>
      </c>
      <c r="R120" s="633">
        <v>57795.54</v>
      </c>
      <c r="S120" s="598">
        <f t="shared" si="13"/>
        <v>58793.963749999995</v>
      </c>
      <c r="T120" s="572"/>
      <c r="U120" s="607"/>
      <c r="V120" s="607"/>
      <c r="W120" s="607"/>
      <c r="X120" s="607"/>
      <c r="Y120" s="585"/>
      <c r="Z120" s="585"/>
    </row>
    <row r="121" spans="1:26">
      <c r="A121" s="592" t="s">
        <v>528</v>
      </c>
      <c r="B121" s="592" t="s">
        <v>548</v>
      </c>
      <c r="C121" s="593">
        <v>112</v>
      </c>
      <c r="D121" s="594" t="str">
        <f t="shared" si="19"/>
        <v>1810.25</v>
      </c>
      <c r="E121" s="683" t="s">
        <v>547</v>
      </c>
      <c r="F121" s="633">
        <v>61497.83</v>
      </c>
      <c r="G121" s="604">
        <v>61321.11</v>
      </c>
      <c r="H121" s="604">
        <v>61144.39</v>
      </c>
      <c r="I121" s="604">
        <v>59852.99</v>
      </c>
      <c r="J121" s="673">
        <v>59679.5</v>
      </c>
      <c r="K121" s="673">
        <v>59506.01</v>
      </c>
      <c r="L121" s="604">
        <v>59332.52</v>
      </c>
      <c r="M121" s="604">
        <v>59159.03</v>
      </c>
      <c r="N121" s="604">
        <v>58985.54</v>
      </c>
      <c r="O121" s="633">
        <v>58812.05</v>
      </c>
      <c r="P121" s="633">
        <v>58638.559999999998</v>
      </c>
      <c r="Q121" s="633">
        <v>58465.07</v>
      </c>
      <c r="R121" s="633">
        <v>58291.58</v>
      </c>
      <c r="S121" s="598">
        <f t="shared" si="13"/>
        <v>59565.956249999988</v>
      </c>
      <c r="T121" s="572"/>
      <c r="U121" s="607"/>
      <c r="V121" s="607"/>
      <c r="W121" s="607"/>
      <c r="X121" s="607"/>
      <c r="Y121" s="585"/>
      <c r="Z121" s="585"/>
    </row>
    <row r="122" spans="1:26">
      <c r="A122" s="592" t="s">
        <v>528</v>
      </c>
      <c r="B122" s="592" t="s">
        <v>549</v>
      </c>
      <c r="C122" s="593">
        <v>113</v>
      </c>
      <c r="D122" s="594" t="str">
        <f t="shared" si="19"/>
        <v>1810.26</v>
      </c>
      <c r="E122" s="683" t="s">
        <v>547</v>
      </c>
      <c r="F122" s="633">
        <v>60711.71</v>
      </c>
      <c r="G122" s="633">
        <v>60581.98</v>
      </c>
      <c r="H122" s="633">
        <v>60452.25</v>
      </c>
      <c r="I122" s="633">
        <v>59195.839999999997</v>
      </c>
      <c r="J122" s="685">
        <v>59068.54</v>
      </c>
      <c r="K122" s="685">
        <v>58941.24</v>
      </c>
      <c r="L122" s="633">
        <v>58813.94</v>
      </c>
      <c r="M122" s="633">
        <v>58686.64</v>
      </c>
      <c r="N122" s="633">
        <v>58559.34</v>
      </c>
      <c r="O122" s="633">
        <v>58432.04</v>
      </c>
      <c r="P122" s="633">
        <v>58304.74</v>
      </c>
      <c r="Q122" s="633">
        <v>58177.440000000002</v>
      </c>
      <c r="R122" s="633">
        <v>58050.14</v>
      </c>
      <c r="S122" s="598">
        <f t="shared" si="13"/>
        <v>59049.576250000006</v>
      </c>
      <c r="T122" s="572"/>
      <c r="U122" s="607"/>
      <c r="V122" s="607"/>
      <c r="W122" s="607"/>
      <c r="X122" s="607"/>
      <c r="Y122" s="585"/>
      <c r="Z122" s="585"/>
    </row>
    <row r="123" spans="1:26">
      <c r="A123" s="592" t="s">
        <v>528</v>
      </c>
      <c r="B123" s="592" t="s">
        <v>995</v>
      </c>
      <c r="C123" s="593">
        <v>114</v>
      </c>
      <c r="D123" s="594" t="str">
        <f t="shared" si="19"/>
        <v>1810.99</v>
      </c>
      <c r="E123" s="683" t="s">
        <v>996</v>
      </c>
      <c r="F123" s="644"/>
      <c r="G123" s="604">
        <v>-2104120.19</v>
      </c>
      <c r="H123" s="644">
        <v>-2093227.2</v>
      </c>
      <c r="I123" s="644">
        <v>-2077862.81</v>
      </c>
      <c r="J123" s="686">
        <v>-2066981.14</v>
      </c>
      <c r="K123" s="686">
        <v>-2056099.47</v>
      </c>
      <c r="L123" s="644">
        <v>-2045217.8</v>
      </c>
      <c r="M123" s="644">
        <v>-2034336.13</v>
      </c>
      <c r="N123" s="644">
        <v>-2023454.46</v>
      </c>
      <c r="O123" s="644">
        <v>-2012572.79</v>
      </c>
      <c r="P123" s="644">
        <v>-2001691.12</v>
      </c>
      <c r="Q123" s="644">
        <v>-1990809.45</v>
      </c>
      <c r="R123" s="644">
        <v>-1979927.78</v>
      </c>
      <c r="S123" s="598">
        <f t="shared" si="13"/>
        <v>-1958028.0374999999</v>
      </c>
      <c r="T123" s="572"/>
      <c r="U123" s="607"/>
      <c r="V123" s="607"/>
      <c r="W123" s="607"/>
      <c r="X123" s="607"/>
      <c r="Y123" s="585"/>
      <c r="Z123" s="585"/>
    </row>
    <row r="124" spans="1:26">
      <c r="A124" s="592"/>
      <c r="B124" s="592"/>
      <c r="C124" s="593">
        <v>115</v>
      </c>
      <c r="D124" s="594"/>
      <c r="E124" s="687" t="s">
        <v>550</v>
      </c>
      <c r="F124" s="596">
        <f>SUM(F111:F123)</f>
        <v>2218763.2799999998</v>
      </c>
      <c r="G124" s="596">
        <f t="shared" ref="G124:S124" si="20">SUM(G111:G123)</f>
        <v>100291.77000000002</v>
      </c>
      <c r="H124" s="596">
        <f t="shared" si="20"/>
        <v>96833.440000000177</v>
      </c>
      <c r="I124" s="596">
        <f t="shared" si="20"/>
        <v>93375.10999999987</v>
      </c>
      <c r="J124" s="596">
        <f t="shared" si="20"/>
        <v>89916.780000000028</v>
      </c>
      <c r="K124" s="596">
        <f t="shared" si="20"/>
        <v>86458.450000000419</v>
      </c>
      <c r="L124" s="596">
        <f t="shared" si="20"/>
        <v>83000.120000000345</v>
      </c>
      <c r="M124" s="596">
        <f t="shared" si="20"/>
        <v>79541.790000000037</v>
      </c>
      <c r="N124" s="596">
        <f t="shared" si="20"/>
        <v>76083.460000000428</v>
      </c>
      <c r="O124" s="596">
        <f t="shared" si="20"/>
        <v>72625.130000000354</v>
      </c>
      <c r="P124" s="596">
        <f t="shared" si="20"/>
        <v>69166.800000000047</v>
      </c>
      <c r="Q124" s="596">
        <f t="shared" si="20"/>
        <v>65708.470000000205</v>
      </c>
      <c r="R124" s="596">
        <f t="shared" si="20"/>
        <v>62250.139999999898</v>
      </c>
      <c r="S124" s="596">
        <f t="shared" si="20"/>
        <v>171125.66916666715</v>
      </c>
      <c r="T124" s="572"/>
      <c r="U124" s="608">
        <f>S124</f>
        <v>171125.66916666715</v>
      </c>
      <c r="V124" s="608"/>
      <c r="W124" s="607"/>
      <c r="X124" s="607"/>
      <c r="Y124" s="585"/>
      <c r="Z124" s="585"/>
    </row>
    <row r="125" spans="1:26">
      <c r="A125" s="592"/>
      <c r="B125" s="592"/>
      <c r="C125" s="593">
        <v>116</v>
      </c>
      <c r="D125" s="594"/>
      <c r="E125" s="688"/>
      <c r="F125" s="596"/>
      <c r="G125" s="678"/>
      <c r="H125" s="598"/>
      <c r="I125" s="598"/>
      <c r="J125" s="599"/>
      <c r="K125" s="600"/>
      <c r="L125" s="601"/>
      <c r="M125" s="602"/>
      <c r="N125" s="603"/>
      <c r="O125" s="604"/>
      <c r="P125" s="605"/>
      <c r="Q125" s="679"/>
      <c r="R125" s="596"/>
      <c r="S125" s="598">
        <f t="shared" si="13"/>
        <v>0</v>
      </c>
      <c r="T125" s="572"/>
      <c r="U125" s="607"/>
      <c r="V125" s="607"/>
      <c r="W125" s="607"/>
      <c r="X125" s="607"/>
      <c r="Y125" s="585"/>
      <c r="Z125" s="585"/>
    </row>
    <row r="126" spans="1:26">
      <c r="A126" s="592" t="s">
        <v>551</v>
      </c>
      <c r="B126" s="592" t="s">
        <v>512</v>
      </c>
      <c r="C126" s="593">
        <v>117</v>
      </c>
      <c r="D126" s="594" t="str">
        <f>A126&amp;"."&amp;B126</f>
        <v>1890.01</v>
      </c>
      <c r="E126" s="687" t="s">
        <v>552</v>
      </c>
      <c r="F126" s="596">
        <v>0</v>
      </c>
      <c r="G126" s="678">
        <v>0</v>
      </c>
      <c r="H126" s="598">
        <v>0</v>
      </c>
      <c r="I126" s="598">
        <v>0</v>
      </c>
      <c r="J126" s="599">
        <v>0</v>
      </c>
      <c r="K126" s="600">
        <v>0</v>
      </c>
      <c r="L126" s="601">
        <v>0</v>
      </c>
      <c r="M126" s="602">
        <v>0</v>
      </c>
      <c r="N126" s="603">
        <v>0</v>
      </c>
      <c r="O126" s="604">
        <v>0</v>
      </c>
      <c r="P126" s="605">
        <v>0</v>
      </c>
      <c r="Q126" s="679">
        <v>0</v>
      </c>
      <c r="R126" s="596">
        <v>0</v>
      </c>
      <c r="S126" s="598">
        <f t="shared" si="13"/>
        <v>0</v>
      </c>
      <c r="T126" s="572"/>
      <c r="U126" s="607"/>
      <c r="V126" s="607"/>
      <c r="W126" s="607"/>
      <c r="X126" s="607"/>
      <c r="Y126" s="585"/>
      <c r="Z126" s="585"/>
    </row>
    <row r="127" spans="1:26">
      <c r="A127" s="592" t="s">
        <v>551</v>
      </c>
      <c r="B127" s="592" t="s">
        <v>492</v>
      </c>
      <c r="C127" s="593">
        <v>118</v>
      </c>
      <c r="D127" s="594" t="str">
        <f>A127&amp;"."&amp;B127</f>
        <v>1890.02</v>
      </c>
      <c r="E127" s="595" t="s">
        <v>553</v>
      </c>
      <c r="F127" s="596">
        <v>0</v>
      </c>
      <c r="G127" s="678">
        <v>0</v>
      </c>
      <c r="H127" s="598">
        <v>0</v>
      </c>
      <c r="I127" s="598">
        <v>0</v>
      </c>
      <c r="J127" s="599">
        <v>0</v>
      </c>
      <c r="K127" s="600">
        <v>0</v>
      </c>
      <c r="L127" s="601">
        <v>0</v>
      </c>
      <c r="M127" s="602">
        <v>0</v>
      </c>
      <c r="N127" s="603">
        <v>0</v>
      </c>
      <c r="O127" s="604">
        <v>0</v>
      </c>
      <c r="P127" s="605">
        <v>0</v>
      </c>
      <c r="Q127" s="679">
        <v>0</v>
      </c>
      <c r="R127" s="596">
        <v>0</v>
      </c>
      <c r="S127" s="598">
        <f t="shared" si="13"/>
        <v>0</v>
      </c>
      <c r="T127" s="572"/>
      <c r="U127" s="607"/>
      <c r="V127" s="607"/>
      <c r="W127" s="607"/>
      <c r="X127" s="607"/>
      <c r="Y127" s="585"/>
      <c r="Z127" s="585"/>
    </row>
    <row r="128" spans="1:26">
      <c r="A128" s="592" t="s">
        <v>551</v>
      </c>
      <c r="B128" s="592" t="s">
        <v>554</v>
      </c>
      <c r="C128" s="593">
        <v>119</v>
      </c>
      <c r="D128" s="594" t="str">
        <f>A128&amp;"."&amp;B128</f>
        <v>1890.03</v>
      </c>
      <c r="E128" s="595" t="s">
        <v>555</v>
      </c>
      <c r="F128" s="596">
        <v>0</v>
      </c>
      <c r="G128" s="678">
        <v>0</v>
      </c>
      <c r="H128" s="598">
        <v>0</v>
      </c>
      <c r="I128" s="598">
        <v>0</v>
      </c>
      <c r="J128" s="599">
        <v>0</v>
      </c>
      <c r="K128" s="600">
        <v>0</v>
      </c>
      <c r="L128" s="601">
        <v>0</v>
      </c>
      <c r="M128" s="602">
        <v>0</v>
      </c>
      <c r="N128" s="603">
        <v>0</v>
      </c>
      <c r="O128" s="604">
        <v>0</v>
      </c>
      <c r="P128" s="605">
        <v>0</v>
      </c>
      <c r="Q128" s="679">
        <v>0</v>
      </c>
      <c r="R128" s="596">
        <v>0</v>
      </c>
      <c r="S128" s="598">
        <f t="shared" si="13"/>
        <v>0</v>
      </c>
      <c r="T128" s="572"/>
      <c r="U128" s="607"/>
      <c r="V128" s="607"/>
      <c r="W128" s="607"/>
      <c r="X128" s="607"/>
      <c r="Y128" s="585"/>
      <c r="Z128" s="585"/>
    </row>
    <row r="129" spans="1:26">
      <c r="A129" s="592" t="s">
        <v>551</v>
      </c>
      <c r="B129" s="592" t="s">
        <v>556</v>
      </c>
      <c r="C129" s="593">
        <v>120</v>
      </c>
      <c r="D129" s="594" t="str">
        <f>A129&amp;"."&amp;B129</f>
        <v>1890.04</v>
      </c>
      <c r="E129" s="595" t="s">
        <v>557</v>
      </c>
      <c r="F129" s="596">
        <v>867212.39</v>
      </c>
      <c r="G129" s="678">
        <v>863798.17</v>
      </c>
      <c r="H129" s="598">
        <v>860383.95</v>
      </c>
      <c r="I129" s="598">
        <v>856969.73</v>
      </c>
      <c r="J129" s="599">
        <v>853555.51</v>
      </c>
      <c r="K129" s="600">
        <v>850141.29</v>
      </c>
      <c r="L129" s="601">
        <v>846727.07</v>
      </c>
      <c r="M129" s="602">
        <v>843312.85</v>
      </c>
      <c r="N129" s="603">
        <v>839898.63</v>
      </c>
      <c r="O129" s="604">
        <v>836484.41</v>
      </c>
      <c r="P129" s="605">
        <v>833070.19</v>
      </c>
      <c r="Q129" s="679">
        <v>829655.97</v>
      </c>
      <c r="R129" s="596">
        <v>826241.75</v>
      </c>
      <c r="S129" s="598">
        <f t="shared" si="13"/>
        <v>846727.07000000018</v>
      </c>
      <c r="T129" s="572"/>
      <c r="U129" s="607"/>
      <c r="V129" s="607"/>
      <c r="W129" s="607"/>
      <c r="X129" s="607"/>
      <c r="Y129" s="585"/>
      <c r="Z129" s="585"/>
    </row>
    <row r="130" spans="1:26">
      <c r="A130" s="592" t="s">
        <v>551</v>
      </c>
      <c r="B130" s="592"/>
      <c r="C130" s="593">
        <v>121</v>
      </c>
      <c r="D130" s="594"/>
      <c r="E130" s="595" t="s">
        <v>558</v>
      </c>
      <c r="F130" s="596">
        <v>0</v>
      </c>
      <c r="G130" s="689">
        <v>0</v>
      </c>
      <c r="H130" s="598">
        <v>0</v>
      </c>
      <c r="I130" s="598">
        <v>0</v>
      </c>
      <c r="J130" s="599">
        <v>0</v>
      </c>
      <c r="K130" s="600">
        <v>0</v>
      </c>
      <c r="L130" s="601">
        <v>0</v>
      </c>
      <c r="M130" s="602">
        <v>0</v>
      </c>
      <c r="N130" s="603">
        <v>0</v>
      </c>
      <c r="O130" s="604">
        <v>0</v>
      </c>
      <c r="P130" s="605">
        <v>0</v>
      </c>
      <c r="Q130" s="684">
        <v>0</v>
      </c>
      <c r="R130" s="596">
        <v>0</v>
      </c>
      <c r="S130" s="598">
        <f t="shared" si="13"/>
        <v>0</v>
      </c>
      <c r="T130" s="572"/>
      <c r="U130" s="607"/>
      <c r="V130" s="607"/>
      <c r="W130" s="607"/>
      <c r="X130" s="607"/>
      <c r="Y130" s="585"/>
      <c r="Z130" s="585"/>
    </row>
    <row r="131" spans="1:26">
      <c r="A131" s="592"/>
      <c r="B131" s="592"/>
      <c r="C131" s="593">
        <v>122</v>
      </c>
      <c r="D131" s="594"/>
      <c r="E131" s="595"/>
      <c r="F131" s="609"/>
      <c r="G131" s="681"/>
      <c r="H131" s="611"/>
      <c r="I131" s="611"/>
      <c r="J131" s="612"/>
      <c r="K131" s="613"/>
      <c r="L131" s="614"/>
      <c r="M131" s="615"/>
      <c r="N131" s="616"/>
      <c r="O131" s="617"/>
      <c r="P131" s="618"/>
      <c r="Q131" s="682"/>
      <c r="R131" s="609"/>
      <c r="S131" s="598">
        <f t="shared" si="13"/>
        <v>0</v>
      </c>
      <c r="T131" s="572"/>
      <c r="U131" s="607"/>
      <c r="V131" s="607"/>
      <c r="W131" s="607"/>
      <c r="X131" s="607"/>
      <c r="Y131" s="585"/>
      <c r="Z131" s="585"/>
    </row>
    <row r="132" spans="1:26">
      <c r="A132" s="592"/>
      <c r="B132" s="592"/>
      <c r="C132" s="593">
        <v>123</v>
      </c>
      <c r="D132" s="594"/>
      <c r="E132" s="595" t="s">
        <v>550</v>
      </c>
      <c r="F132" s="620">
        <f>SUM(F126:F130)</f>
        <v>867212.39</v>
      </c>
      <c r="G132" s="620">
        <f t="shared" ref="G132:S132" si="21">SUM(G126:G130)</f>
        <v>863798.17</v>
      </c>
      <c r="H132" s="620">
        <f t="shared" si="21"/>
        <v>860383.95</v>
      </c>
      <c r="I132" s="620">
        <f t="shared" si="21"/>
        <v>856969.73</v>
      </c>
      <c r="J132" s="620">
        <f t="shared" si="21"/>
        <v>853555.51</v>
      </c>
      <c r="K132" s="620">
        <f t="shared" si="21"/>
        <v>850141.29</v>
      </c>
      <c r="L132" s="620">
        <f t="shared" si="21"/>
        <v>846727.07</v>
      </c>
      <c r="M132" s="620">
        <f t="shared" si="21"/>
        <v>843312.85</v>
      </c>
      <c r="N132" s="620">
        <f t="shared" si="21"/>
        <v>839898.63</v>
      </c>
      <c r="O132" s="620">
        <f t="shared" si="21"/>
        <v>836484.41</v>
      </c>
      <c r="P132" s="620">
        <f t="shared" si="21"/>
        <v>833070.19</v>
      </c>
      <c r="Q132" s="620">
        <f t="shared" si="21"/>
        <v>829655.97</v>
      </c>
      <c r="R132" s="620">
        <f t="shared" si="21"/>
        <v>826241.75</v>
      </c>
      <c r="S132" s="620">
        <f t="shared" si="21"/>
        <v>846727.07000000018</v>
      </c>
      <c r="T132" s="572"/>
      <c r="U132" s="608">
        <f>S132</f>
        <v>846727.07000000018</v>
      </c>
      <c r="V132" s="608"/>
      <c r="W132" s="607"/>
      <c r="X132" s="607"/>
      <c r="Y132" s="585"/>
      <c r="Z132" s="585"/>
    </row>
    <row r="133" spans="1:26">
      <c r="A133" s="592"/>
      <c r="B133" s="592"/>
      <c r="C133" s="593">
        <v>124</v>
      </c>
      <c r="D133" s="594"/>
      <c r="E133" s="650"/>
      <c r="F133" s="596"/>
      <c r="G133" s="678"/>
      <c r="H133" s="598"/>
      <c r="I133" s="598"/>
      <c r="J133" s="599"/>
      <c r="K133" s="600"/>
      <c r="L133" s="601"/>
      <c r="M133" s="602"/>
      <c r="N133" s="603"/>
      <c r="O133" s="604"/>
      <c r="P133" s="605"/>
      <c r="Q133" s="679"/>
      <c r="R133" s="596"/>
      <c r="S133" s="598">
        <f t="shared" si="13"/>
        <v>0</v>
      </c>
      <c r="T133" s="572"/>
      <c r="U133" s="607"/>
      <c r="V133" s="607"/>
      <c r="W133" s="607"/>
      <c r="X133" s="607"/>
      <c r="Y133" s="585"/>
      <c r="Z133" s="585"/>
    </row>
    <row r="134" spans="1:26">
      <c r="A134" s="592" t="s">
        <v>511</v>
      </c>
      <c r="B134" s="592" t="s">
        <v>492</v>
      </c>
      <c r="C134" s="593">
        <v>125</v>
      </c>
      <c r="D134" s="594" t="str">
        <f>A134&amp;"."&amp;B134</f>
        <v>1750.02</v>
      </c>
      <c r="E134" s="595" t="s">
        <v>559</v>
      </c>
      <c r="F134" s="596">
        <v>0</v>
      </c>
      <c r="G134" s="678">
        <v>0</v>
      </c>
      <c r="H134" s="598">
        <v>0</v>
      </c>
      <c r="I134" s="598">
        <v>0</v>
      </c>
      <c r="J134" s="599">
        <v>0</v>
      </c>
      <c r="K134" s="600">
        <v>0</v>
      </c>
      <c r="L134" s="601">
        <v>0</v>
      </c>
      <c r="M134" s="602">
        <v>0</v>
      </c>
      <c r="N134" s="603">
        <v>0</v>
      </c>
      <c r="O134" s="604">
        <v>0</v>
      </c>
      <c r="P134" s="605">
        <v>0</v>
      </c>
      <c r="Q134" s="679">
        <v>0</v>
      </c>
      <c r="R134" s="596">
        <v>0</v>
      </c>
      <c r="S134" s="598">
        <f t="shared" si="13"/>
        <v>0</v>
      </c>
      <c r="T134" s="572"/>
      <c r="U134" s="607"/>
      <c r="V134" s="607"/>
      <c r="W134" s="607"/>
      <c r="X134" s="607"/>
      <c r="Y134" s="585"/>
      <c r="Z134" s="585"/>
    </row>
    <row r="135" spans="1:26">
      <c r="A135" s="592" t="s">
        <v>499</v>
      </c>
      <c r="B135" s="592" t="s">
        <v>560</v>
      </c>
      <c r="C135" s="593">
        <v>126</v>
      </c>
      <c r="D135" s="594" t="str">
        <f>A135&amp;"."&amp;B135</f>
        <v>1659.[21]</v>
      </c>
      <c r="E135" s="595" t="s">
        <v>505</v>
      </c>
      <c r="F135" s="596">
        <v>0</v>
      </c>
      <c r="G135" s="678">
        <v>0</v>
      </c>
      <c r="H135" s="598">
        <v>0</v>
      </c>
      <c r="I135" s="598">
        <v>0</v>
      </c>
      <c r="J135" s="599">
        <v>0</v>
      </c>
      <c r="K135" s="600">
        <v>0</v>
      </c>
      <c r="L135" s="601">
        <v>0</v>
      </c>
      <c r="M135" s="602">
        <v>0</v>
      </c>
      <c r="N135" s="603">
        <v>0</v>
      </c>
      <c r="O135" s="604">
        <v>0</v>
      </c>
      <c r="P135" s="605">
        <v>0</v>
      </c>
      <c r="Q135" s="679">
        <v>0</v>
      </c>
      <c r="R135" s="596">
        <v>0</v>
      </c>
      <c r="S135" s="598">
        <f t="shared" si="13"/>
        <v>0</v>
      </c>
      <c r="T135" s="572"/>
      <c r="U135" s="607"/>
      <c r="V135" s="607"/>
      <c r="W135" s="607"/>
      <c r="X135" s="607"/>
      <c r="Y135" s="585"/>
      <c r="Z135" s="585"/>
    </row>
    <row r="136" spans="1:26">
      <c r="A136" s="592" t="s">
        <v>561</v>
      </c>
      <c r="B136" s="592" t="s">
        <v>398</v>
      </c>
      <c r="C136" s="593">
        <v>127</v>
      </c>
      <c r="D136" s="690" t="str">
        <f>+A136</f>
        <v>1823</v>
      </c>
      <c r="E136" s="595" t="s">
        <v>562</v>
      </c>
      <c r="F136" s="596">
        <v>51471119.32</v>
      </c>
      <c r="G136" s="678">
        <v>51474103.770000003</v>
      </c>
      <c r="H136" s="598">
        <v>51477105.710000001</v>
      </c>
      <c r="I136" s="598">
        <v>52358916.280000001</v>
      </c>
      <c r="J136" s="599">
        <v>52361745.270000003</v>
      </c>
      <c r="K136" s="600">
        <v>52364591.909999996</v>
      </c>
      <c r="L136" s="601">
        <v>52367591.340000004</v>
      </c>
      <c r="M136" s="602">
        <v>52400689.82</v>
      </c>
      <c r="N136" s="603">
        <v>52517843.890000001</v>
      </c>
      <c r="O136" s="604">
        <v>52859086.200000003</v>
      </c>
      <c r="P136" s="605">
        <v>53863817.210000001</v>
      </c>
      <c r="Q136" s="679">
        <v>52299664.549999997</v>
      </c>
      <c r="R136" s="596">
        <v>49627340.659999996</v>
      </c>
      <c r="S136" s="598">
        <f t="shared" si="13"/>
        <v>52241198.828333326</v>
      </c>
      <c r="T136" s="572"/>
      <c r="U136" s="607"/>
      <c r="V136" s="607"/>
      <c r="W136" s="607"/>
      <c r="X136" s="608">
        <f>S136</f>
        <v>52241198.828333326</v>
      </c>
      <c r="Y136" s="585"/>
      <c r="Z136" s="585"/>
    </row>
    <row r="137" spans="1:26">
      <c r="A137" s="592" t="s">
        <v>563</v>
      </c>
      <c r="B137" s="592" t="s">
        <v>398</v>
      </c>
      <c r="C137" s="593">
        <v>128</v>
      </c>
      <c r="D137" s="690" t="str">
        <f>+A137</f>
        <v>1840</v>
      </c>
      <c r="E137" s="595" t="s">
        <v>564</v>
      </c>
      <c r="F137" s="596">
        <v>-67632.320000000007</v>
      </c>
      <c r="G137" s="678">
        <v>-113186.96</v>
      </c>
      <c r="H137" s="598">
        <v>-63619.71</v>
      </c>
      <c r="I137" s="598">
        <v>-145417.21</v>
      </c>
      <c r="J137" s="599">
        <v>-161351.10999999999</v>
      </c>
      <c r="K137" s="600">
        <v>-127223.8</v>
      </c>
      <c r="L137" s="601">
        <v>-111028.91</v>
      </c>
      <c r="M137" s="602">
        <v>-91144.65</v>
      </c>
      <c r="N137" s="603">
        <v>-131459.70000000001</v>
      </c>
      <c r="O137" s="604">
        <v>-150701.76999999999</v>
      </c>
      <c r="P137" s="605">
        <v>-159252.68</v>
      </c>
      <c r="Q137" s="679">
        <v>-109616.47</v>
      </c>
      <c r="R137" s="596">
        <v>-64198.02</v>
      </c>
      <c r="S137" s="598">
        <f t="shared" si="13"/>
        <v>-119159.84499999999</v>
      </c>
      <c r="T137" s="572"/>
      <c r="U137" s="607"/>
      <c r="V137" s="607"/>
      <c r="W137" s="607"/>
      <c r="X137" s="608">
        <f>S137</f>
        <v>-119159.84499999999</v>
      </c>
      <c r="Y137" s="585"/>
      <c r="Z137" s="585"/>
    </row>
    <row r="138" spans="1:26">
      <c r="A138" s="592" t="s">
        <v>565</v>
      </c>
      <c r="B138" s="592" t="s">
        <v>398</v>
      </c>
      <c r="C138" s="593">
        <v>129</v>
      </c>
      <c r="D138" s="594" t="s">
        <v>566</v>
      </c>
      <c r="E138" s="595" t="s">
        <v>567</v>
      </c>
      <c r="F138" s="596">
        <v>10483.599999999904</v>
      </c>
      <c r="G138" s="678">
        <v>-18042.14999999998</v>
      </c>
      <c r="H138" s="598">
        <v>-35788.390000000007</v>
      </c>
      <c r="I138" s="598">
        <v>-81566.23000000001</v>
      </c>
      <c r="J138" s="599">
        <v>-75237.210000000021</v>
      </c>
      <c r="K138" s="600">
        <v>-87120.2</v>
      </c>
      <c r="L138" s="601">
        <v>-142541.12</v>
      </c>
      <c r="M138" s="602">
        <v>-155721.53</v>
      </c>
      <c r="N138" s="603">
        <v>-128242.37999999998</v>
      </c>
      <c r="O138" s="604">
        <v>-104739.90000000002</v>
      </c>
      <c r="P138" s="605">
        <v>-68900.88</v>
      </c>
      <c r="Q138" s="679">
        <v>-15703.479999999996</v>
      </c>
      <c r="R138" s="596">
        <v>168813.16999999998</v>
      </c>
      <c r="S138" s="598">
        <f t="shared" si="13"/>
        <v>-68662.923750000002</v>
      </c>
      <c r="T138" s="572"/>
      <c r="U138" s="607"/>
      <c r="V138" s="607"/>
      <c r="W138" s="607"/>
      <c r="X138" s="608">
        <f>S138</f>
        <v>-68662.923750000002</v>
      </c>
      <c r="Y138" s="585"/>
      <c r="Z138" s="585"/>
    </row>
    <row r="139" spans="1:26">
      <c r="A139" s="592" t="s">
        <v>506</v>
      </c>
      <c r="B139" s="592" t="s">
        <v>568</v>
      </c>
      <c r="C139" s="593">
        <v>130</v>
      </c>
      <c r="D139" s="594" t="str">
        <f t="shared" ref="D139:D145" si="22">A139&amp;"."&amp;B139</f>
        <v>1860.205*</v>
      </c>
      <c r="E139" s="595" t="s">
        <v>569</v>
      </c>
      <c r="F139" s="596">
        <v>0</v>
      </c>
      <c r="G139" s="678">
        <v>0</v>
      </c>
      <c r="H139" s="598">
        <v>0</v>
      </c>
      <c r="I139" s="598">
        <v>0</v>
      </c>
      <c r="J139" s="599">
        <v>0</v>
      </c>
      <c r="K139" s="600">
        <v>0</v>
      </c>
      <c r="L139" s="601">
        <v>0</v>
      </c>
      <c r="M139" s="602">
        <v>0</v>
      </c>
      <c r="N139" s="603">
        <v>0</v>
      </c>
      <c r="O139" s="604">
        <v>0</v>
      </c>
      <c r="P139" s="605">
        <v>0</v>
      </c>
      <c r="Q139" s="679">
        <v>0</v>
      </c>
      <c r="R139" s="596">
        <v>0</v>
      </c>
      <c r="S139" s="598">
        <f t="shared" si="13"/>
        <v>0</v>
      </c>
      <c r="T139" s="572"/>
      <c r="U139" s="607"/>
      <c r="V139" s="607"/>
      <c r="W139" s="607"/>
      <c r="X139" s="607"/>
      <c r="Y139" s="585"/>
      <c r="Z139" s="585"/>
    </row>
    <row r="140" spans="1:26">
      <c r="A140" s="592" t="s">
        <v>506</v>
      </c>
      <c r="B140" s="592" t="s">
        <v>570</v>
      </c>
      <c r="C140" s="593">
        <v>131</v>
      </c>
      <c r="D140" s="594" t="str">
        <f t="shared" si="22"/>
        <v>1860.201*</v>
      </c>
      <c r="E140" s="595" t="s">
        <v>571</v>
      </c>
      <c r="F140" s="596">
        <v>0</v>
      </c>
      <c r="G140" s="678">
        <v>0</v>
      </c>
      <c r="H140" s="598">
        <v>0</v>
      </c>
      <c r="I140" s="598">
        <v>0</v>
      </c>
      <c r="J140" s="599">
        <v>0</v>
      </c>
      <c r="K140" s="600">
        <v>0</v>
      </c>
      <c r="L140" s="601">
        <v>0</v>
      </c>
      <c r="M140" s="602">
        <v>0</v>
      </c>
      <c r="N140" s="603">
        <v>0</v>
      </c>
      <c r="O140" s="604">
        <v>0</v>
      </c>
      <c r="P140" s="605">
        <v>0</v>
      </c>
      <c r="Q140" s="679">
        <v>0</v>
      </c>
      <c r="R140" s="596">
        <v>0</v>
      </c>
      <c r="S140" s="598">
        <f t="shared" ref="S140:S203" si="23">((F140+R140)+((G140+H140+I140+J140+K140+L140+M140+N140+O140+P140+Q140)*2))/24</f>
        <v>0</v>
      </c>
      <c r="T140" s="572"/>
      <c r="U140" s="607"/>
      <c r="V140" s="607"/>
      <c r="W140" s="607"/>
      <c r="X140" s="607"/>
      <c r="Y140" s="585"/>
      <c r="Z140" s="585"/>
    </row>
    <row r="141" spans="1:26">
      <c r="A141" s="592" t="s">
        <v>506</v>
      </c>
      <c r="B141" s="592" t="s">
        <v>572</v>
      </c>
      <c r="C141" s="593">
        <v>132</v>
      </c>
      <c r="D141" s="594" t="str">
        <f t="shared" si="22"/>
        <v>1860.202*</v>
      </c>
      <c r="E141" s="595" t="s">
        <v>573</v>
      </c>
      <c r="F141" s="596">
        <v>998935.74</v>
      </c>
      <c r="G141" s="678">
        <v>985897.7</v>
      </c>
      <c r="H141" s="598">
        <v>970609.92</v>
      </c>
      <c r="I141" s="598">
        <v>954524.1</v>
      </c>
      <c r="J141" s="599">
        <v>938438.28</v>
      </c>
      <c r="K141" s="600">
        <v>962286.22</v>
      </c>
      <c r="L141" s="601">
        <v>953634.98</v>
      </c>
      <c r="M141" s="602">
        <v>945067.25</v>
      </c>
      <c r="N141" s="603">
        <v>936499.52</v>
      </c>
      <c r="O141" s="604">
        <v>927931.79</v>
      </c>
      <c r="P141" s="605">
        <v>944933.42</v>
      </c>
      <c r="Q141" s="679">
        <v>938997.83</v>
      </c>
      <c r="R141" s="596">
        <v>1321815.02</v>
      </c>
      <c r="S141" s="598">
        <f t="shared" si="23"/>
        <v>968266.36583333311</v>
      </c>
      <c r="T141" s="572"/>
      <c r="U141" s="607"/>
      <c r="V141" s="607"/>
      <c r="W141" s="607"/>
      <c r="X141" s="608">
        <f>S141</f>
        <v>968266.36583333311</v>
      </c>
      <c r="Y141" s="585"/>
      <c r="Z141" s="585"/>
    </row>
    <row r="142" spans="1:26">
      <c r="A142" s="568" t="s">
        <v>506</v>
      </c>
      <c r="B142" s="568" t="s">
        <v>574</v>
      </c>
      <c r="C142" s="593">
        <v>133</v>
      </c>
      <c r="D142" s="570" t="str">
        <f t="shared" si="22"/>
        <v>1860.20206</v>
      </c>
      <c r="E142" s="595" t="s">
        <v>575</v>
      </c>
      <c r="F142" s="596">
        <v>0</v>
      </c>
      <c r="G142" s="678">
        <v>0</v>
      </c>
      <c r="H142" s="598">
        <v>0</v>
      </c>
      <c r="I142" s="598">
        <v>0</v>
      </c>
      <c r="J142" s="599">
        <v>0</v>
      </c>
      <c r="K142" s="600">
        <v>0</v>
      </c>
      <c r="L142" s="601">
        <v>0</v>
      </c>
      <c r="M142" s="602">
        <v>0</v>
      </c>
      <c r="N142" s="603">
        <v>0</v>
      </c>
      <c r="O142" s="604">
        <v>0</v>
      </c>
      <c r="P142" s="605">
        <v>0</v>
      </c>
      <c r="Q142" s="679">
        <v>0</v>
      </c>
      <c r="R142" s="596">
        <v>0</v>
      </c>
      <c r="S142" s="598">
        <f t="shared" si="23"/>
        <v>0</v>
      </c>
      <c r="T142" s="572"/>
      <c r="U142" s="607"/>
      <c r="V142" s="607"/>
      <c r="W142" s="607"/>
      <c r="X142" s="607"/>
      <c r="Y142" s="585"/>
      <c r="Z142" s="585"/>
    </row>
    <row r="143" spans="1:26">
      <c r="A143" s="568" t="s">
        <v>506</v>
      </c>
      <c r="B143" s="568" t="s">
        <v>576</v>
      </c>
      <c r="C143" s="593">
        <v>134</v>
      </c>
      <c r="D143" s="570" t="str">
        <f t="shared" si="22"/>
        <v>1860.[20426,20427]</v>
      </c>
      <c r="E143" s="595" t="s">
        <v>577</v>
      </c>
      <c r="F143" s="596">
        <v>0</v>
      </c>
      <c r="G143" s="678">
        <v>0</v>
      </c>
      <c r="H143" s="598">
        <v>0</v>
      </c>
      <c r="I143" s="598">
        <v>0</v>
      </c>
      <c r="J143" s="599">
        <v>0</v>
      </c>
      <c r="K143" s="600">
        <v>0</v>
      </c>
      <c r="L143" s="601">
        <v>0</v>
      </c>
      <c r="M143" s="602">
        <v>0</v>
      </c>
      <c r="N143" s="603">
        <v>0</v>
      </c>
      <c r="O143" s="604">
        <v>0</v>
      </c>
      <c r="P143" s="605">
        <v>0</v>
      </c>
      <c r="Q143" s="679">
        <v>0</v>
      </c>
      <c r="R143" s="596">
        <v>0</v>
      </c>
      <c r="S143" s="598">
        <f t="shared" si="23"/>
        <v>0</v>
      </c>
      <c r="T143" s="572"/>
      <c r="U143" s="607"/>
      <c r="V143" s="607"/>
      <c r="W143" s="607"/>
      <c r="X143" s="607"/>
      <c r="Y143" s="585"/>
      <c r="Z143" s="585"/>
    </row>
    <row r="144" spans="1:26">
      <c r="A144" s="568" t="s">
        <v>506</v>
      </c>
      <c r="B144" s="568" t="s">
        <v>578</v>
      </c>
      <c r="C144" s="593">
        <v>135</v>
      </c>
      <c r="D144" s="570" t="str">
        <f t="shared" si="22"/>
        <v>1860.[204*,/20424,/20425,/20426,/20427]</v>
      </c>
      <c r="E144" s="595" t="s">
        <v>579</v>
      </c>
      <c r="F144" s="596">
        <v>18201108.41</v>
      </c>
      <c r="G144" s="678">
        <v>18252514.34</v>
      </c>
      <c r="H144" s="598">
        <v>18285672.82</v>
      </c>
      <c r="I144" s="598">
        <v>18303837.34</v>
      </c>
      <c r="J144" s="599">
        <v>18324504.629999999</v>
      </c>
      <c r="K144" s="600">
        <v>18311625.559999999</v>
      </c>
      <c r="L144" s="601">
        <v>18019991.59</v>
      </c>
      <c r="M144" s="602">
        <v>17914168.600000001</v>
      </c>
      <c r="N144" s="603">
        <v>17920822.18</v>
      </c>
      <c r="O144" s="604">
        <v>17986542.59</v>
      </c>
      <c r="P144" s="605">
        <v>18015428.170000002</v>
      </c>
      <c r="Q144" s="679">
        <v>19788910.890000001</v>
      </c>
      <c r="R144" s="596">
        <v>20139439.84</v>
      </c>
      <c r="S144" s="598">
        <f t="shared" si="23"/>
        <v>18357857.736249998</v>
      </c>
      <c r="T144" s="572"/>
      <c r="U144" s="607"/>
      <c r="V144" s="607"/>
      <c r="W144" s="691">
        <v>1911203.44</v>
      </c>
      <c r="X144" s="608">
        <f>S144-W144</f>
        <v>16446654.296249999</v>
      </c>
      <c r="Y144" s="585"/>
      <c r="Z144" s="585"/>
    </row>
    <row r="145" spans="1:26">
      <c r="A145" s="568" t="s">
        <v>580</v>
      </c>
      <c r="B145" s="568" t="s">
        <v>581</v>
      </c>
      <c r="C145" s="593">
        <v>136</v>
      </c>
      <c r="D145" s="570" t="str">
        <f t="shared" si="22"/>
        <v>1862.204*</v>
      </c>
      <c r="E145" s="595" t="s">
        <v>582</v>
      </c>
      <c r="F145" s="596">
        <v>4116785.62</v>
      </c>
      <c r="G145" s="678">
        <v>3830666.35</v>
      </c>
      <c r="H145" s="598">
        <v>3987930.69</v>
      </c>
      <c r="I145" s="598">
        <v>4114032.66</v>
      </c>
      <c r="J145" s="599">
        <v>4606809.47</v>
      </c>
      <c r="K145" s="600">
        <v>4557614.63</v>
      </c>
      <c r="L145" s="601">
        <v>4519160.07</v>
      </c>
      <c r="M145" s="602">
        <v>4851295.3099999996</v>
      </c>
      <c r="N145" s="603">
        <v>4921418.24</v>
      </c>
      <c r="O145" s="604">
        <v>5041102.8899999997</v>
      </c>
      <c r="P145" s="605">
        <v>5041177.71</v>
      </c>
      <c r="Q145" s="679">
        <v>7129938.8700000001</v>
      </c>
      <c r="R145" s="596">
        <v>4013684.71</v>
      </c>
      <c r="S145" s="598">
        <f t="shared" si="23"/>
        <v>4722198.5045833327</v>
      </c>
      <c r="T145" s="572"/>
      <c r="U145" s="607"/>
      <c r="V145" s="607"/>
      <c r="W145" s="608">
        <f>S145</f>
        <v>4722198.5045833327</v>
      </c>
      <c r="X145" s="607"/>
      <c r="Y145" s="585"/>
      <c r="Z145" s="585"/>
    </row>
    <row r="146" spans="1:26">
      <c r="A146" s="568" t="s">
        <v>583</v>
      </c>
      <c r="B146" s="568" t="s">
        <v>398</v>
      </c>
      <c r="C146" s="593">
        <v>137</v>
      </c>
      <c r="D146" s="570" t="str">
        <f>+A146</f>
        <v>1866</v>
      </c>
      <c r="E146" s="604" t="s">
        <v>584</v>
      </c>
      <c r="F146" s="622">
        <v>3597416</v>
      </c>
      <c r="G146" s="622">
        <v>3597416</v>
      </c>
      <c r="H146" s="622">
        <v>3597416</v>
      </c>
      <c r="I146" s="622">
        <v>3555871</v>
      </c>
      <c r="J146" s="622">
        <v>3555871</v>
      </c>
      <c r="K146" s="622">
        <v>3555871</v>
      </c>
      <c r="L146" s="622">
        <v>3555871</v>
      </c>
      <c r="M146" s="622">
        <v>3555871</v>
      </c>
      <c r="N146" s="622">
        <v>3555871</v>
      </c>
      <c r="O146" s="624">
        <v>3555871</v>
      </c>
      <c r="P146" s="622">
        <v>3555871</v>
      </c>
      <c r="Q146" s="622">
        <v>3555871</v>
      </c>
      <c r="R146" s="622">
        <v>3555871</v>
      </c>
      <c r="S146" s="598">
        <f t="shared" si="23"/>
        <v>3564526.2083333335</v>
      </c>
      <c r="T146" s="572"/>
      <c r="U146" s="607"/>
      <c r="V146" s="607"/>
      <c r="W146" s="608">
        <f>S146</f>
        <v>3564526.2083333335</v>
      </c>
      <c r="X146" s="608"/>
      <c r="Y146" s="585"/>
      <c r="Z146" s="585"/>
    </row>
    <row r="147" spans="1:26">
      <c r="A147" s="592"/>
      <c r="B147" s="592"/>
      <c r="C147" s="593">
        <v>138</v>
      </c>
      <c r="D147" s="594"/>
      <c r="E147" s="595" t="s">
        <v>585</v>
      </c>
      <c r="F147" s="620">
        <f>SUM(F134:F146)</f>
        <v>78328216.370000005</v>
      </c>
      <c r="G147" s="620">
        <f t="shared" ref="G147:S147" si="24">SUM(G134:G146)</f>
        <v>78009369.049999997</v>
      </c>
      <c r="H147" s="620">
        <f t="shared" si="24"/>
        <v>78219327.039999992</v>
      </c>
      <c r="I147" s="620">
        <f t="shared" si="24"/>
        <v>79060197.939999998</v>
      </c>
      <c r="J147" s="620">
        <f t="shared" si="24"/>
        <v>79550780.329999998</v>
      </c>
      <c r="K147" s="620">
        <f t="shared" si="24"/>
        <v>79537645.319999993</v>
      </c>
      <c r="L147" s="620">
        <f t="shared" si="24"/>
        <v>79162678.950000018</v>
      </c>
      <c r="M147" s="620">
        <f t="shared" si="24"/>
        <v>79420225.800000012</v>
      </c>
      <c r="N147" s="620">
        <f t="shared" si="24"/>
        <v>79592752.749999985</v>
      </c>
      <c r="O147" s="620">
        <f t="shared" si="24"/>
        <v>80115092.799999997</v>
      </c>
      <c r="P147" s="620">
        <f t="shared" si="24"/>
        <v>81193073.950000003</v>
      </c>
      <c r="Q147" s="620">
        <f t="shared" si="24"/>
        <v>83588063.189999998</v>
      </c>
      <c r="R147" s="620">
        <f t="shared" si="24"/>
        <v>78762766.379999995</v>
      </c>
      <c r="S147" s="620">
        <f t="shared" si="24"/>
        <v>79666224.874583319</v>
      </c>
      <c r="T147" s="572"/>
      <c r="U147" s="607"/>
      <c r="V147" s="607"/>
      <c r="W147" s="607"/>
      <c r="X147" s="607"/>
      <c r="Y147" s="585"/>
      <c r="Z147" s="585"/>
    </row>
    <row r="148" spans="1:26">
      <c r="A148" s="592"/>
      <c r="B148" s="592"/>
      <c r="C148" s="593">
        <v>139</v>
      </c>
      <c r="D148" s="594"/>
      <c r="E148" s="650"/>
      <c r="F148" s="596"/>
      <c r="G148" s="678"/>
      <c r="H148" s="598"/>
      <c r="I148" s="598"/>
      <c r="J148" s="599"/>
      <c r="K148" s="600"/>
      <c r="L148" s="601"/>
      <c r="M148" s="602"/>
      <c r="N148" s="603"/>
      <c r="O148" s="604"/>
      <c r="P148" s="605"/>
      <c r="Q148" s="679"/>
      <c r="R148" s="596"/>
      <c r="S148" s="598">
        <f t="shared" si="23"/>
        <v>0</v>
      </c>
      <c r="T148" s="572"/>
      <c r="U148" s="607"/>
      <c r="V148" s="607"/>
      <c r="W148" s="607"/>
      <c r="X148" s="607"/>
      <c r="Y148" s="585"/>
      <c r="Z148" s="585"/>
    </row>
    <row r="149" spans="1:26">
      <c r="A149" s="592" t="s">
        <v>586</v>
      </c>
      <c r="B149" s="592" t="s">
        <v>398</v>
      </c>
      <c r="C149" s="593">
        <v>140</v>
      </c>
      <c r="D149" s="594"/>
      <c r="E149" s="595" t="s">
        <v>587</v>
      </c>
      <c r="F149" s="596">
        <v>156305207.13</v>
      </c>
      <c r="G149" s="678">
        <v>24421868.41</v>
      </c>
      <c r="H149" s="598">
        <v>41171423.25</v>
      </c>
      <c r="I149" s="598">
        <v>56483768.100000001</v>
      </c>
      <c r="J149" s="599">
        <v>64753779.909999996</v>
      </c>
      <c r="K149" s="600">
        <v>70295784.159999996</v>
      </c>
      <c r="L149" s="601">
        <v>75264580.459999993</v>
      </c>
      <c r="M149" s="602">
        <v>79770220.25</v>
      </c>
      <c r="N149" s="603">
        <v>83874065.469999999</v>
      </c>
      <c r="O149" s="604">
        <v>88861448.659999996</v>
      </c>
      <c r="P149" s="605">
        <v>98160199.450000003</v>
      </c>
      <c r="Q149" s="679">
        <v>110210704.31</v>
      </c>
      <c r="R149" s="596">
        <v>135117509.71000001</v>
      </c>
      <c r="S149" s="598">
        <f t="shared" si="23"/>
        <v>78248266.737500012</v>
      </c>
      <c r="T149" s="572"/>
      <c r="U149" s="607"/>
      <c r="V149" s="607"/>
      <c r="W149" s="607"/>
      <c r="X149" s="607"/>
      <c r="Y149" s="585"/>
      <c r="Z149" s="585"/>
    </row>
    <row r="150" spans="1:26">
      <c r="A150" s="592" t="s">
        <v>588</v>
      </c>
      <c r="B150" s="592" t="s">
        <v>398</v>
      </c>
      <c r="C150" s="593">
        <v>141</v>
      </c>
      <c r="D150" s="594"/>
      <c r="E150" s="595" t="s">
        <v>589</v>
      </c>
      <c r="F150" s="596">
        <v>46817597.850000001</v>
      </c>
      <c r="G150" s="678">
        <v>4329047.46</v>
      </c>
      <c r="H150" s="598">
        <v>8144824.2199999997</v>
      </c>
      <c r="I150" s="598">
        <v>11913582.199999999</v>
      </c>
      <c r="J150" s="599">
        <v>15629660.82</v>
      </c>
      <c r="K150" s="600">
        <v>19641103.890000001</v>
      </c>
      <c r="L150" s="601">
        <v>23808301.02</v>
      </c>
      <c r="M150" s="602">
        <v>27425881.100000001</v>
      </c>
      <c r="N150" s="603">
        <v>31996474.899999999</v>
      </c>
      <c r="O150" s="604">
        <v>36090125.700000003</v>
      </c>
      <c r="P150" s="605">
        <v>40028030.579999998</v>
      </c>
      <c r="Q150" s="679">
        <v>44017177.710000001</v>
      </c>
      <c r="R150" s="596">
        <v>48703743.799999997</v>
      </c>
      <c r="S150" s="598">
        <f t="shared" si="23"/>
        <v>25898740.035416666</v>
      </c>
      <c r="T150" s="572"/>
      <c r="U150" s="607"/>
      <c r="V150" s="607"/>
      <c r="W150" s="607"/>
      <c r="X150" s="607"/>
      <c r="Y150" s="585"/>
      <c r="Z150" s="585"/>
    </row>
    <row r="151" spans="1:26">
      <c r="A151" s="568" t="s">
        <v>590</v>
      </c>
      <c r="B151" s="568" t="s">
        <v>591</v>
      </c>
      <c r="C151" s="593">
        <v>142</v>
      </c>
      <c r="D151" s="570"/>
      <c r="E151" s="595" t="s">
        <v>592</v>
      </c>
      <c r="F151" s="596">
        <v>0</v>
      </c>
      <c r="G151" s="678">
        <v>315.98</v>
      </c>
      <c r="H151" s="598">
        <v>315.98</v>
      </c>
      <c r="I151" s="598">
        <v>315.98</v>
      </c>
      <c r="J151" s="599">
        <v>315.98</v>
      </c>
      <c r="K151" s="600">
        <v>315.98</v>
      </c>
      <c r="L151" s="601">
        <v>315.98</v>
      </c>
      <c r="M151" s="602">
        <v>315.98</v>
      </c>
      <c r="N151" s="603">
        <v>315.98</v>
      </c>
      <c r="O151" s="604">
        <v>315.98</v>
      </c>
      <c r="P151" s="605">
        <v>315.98</v>
      </c>
      <c r="Q151" s="679">
        <v>315.98</v>
      </c>
      <c r="R151" s="596">
        <v>315.98</v>
      </c>
      <c r="S151" s="598">
        <f t="shared" si="23"/>
        <v>302.81416666666672</v>
      </c>
      <c r="T151" s="572"/>
      <c r="U151" s="607"/>
      <c r="V151" s="607"/>
      <c r="W151" s="607"/>
      <c r="X151" s="607"/>
      <c r="Y151" s="585"/>
      <c r="Z151" s="585"/>
    </row>
    <row r="152" spans="1:26">
      <c r="A152" s="568" t="s">
        <v>593</v>
      </c>
      <c r="B152" s="568" t="s">
        <v>398</v>
      </c>
      <c r="C152" s="593">
        <v>143</v>
      </c>
      <c r="D152" s="570"/>
      <c r="E152" s="595" t="s">
        <v>594</v>
      </c>
      <c r="F152" s="596">
        <v>5473309.9500000002</v>
      </c>
      <c r="G152" s="678">
        <v>429269.29</v>
      </c>
      <c r="H152" s="598">
        <v>844912.97</v>
      </c>
      <c r="I152" s="598">
        <v>1337555.07</v>
      </c>
      <c r="J152" s="599">
        <v>1801041.39</v>
      </c>
      <c r="K152" s="600">
        <v>2272948.0699999998</v>
      </c>
      <c r="L152" s="601">
        <v>2748701.28</v>
      </c>
      <c r="M152" s="602">
        <v>3219897.06</v>
      </c>
      <c r="N152" s="603">
        <v>3771772.86</v>
      </c>
      <c r="O152" s="604">
        <v>4251828.58</v>
      </c>
      <c r="P152" s="605">
        <v>4693376.74</v>
      </c>
      <c r="Q152" s="679">
        <v>5170135.07</v>
      </c>
      <c r="R152" s="596">
        <v>5729641.6100000003</v>
      </c>
      <c r="S152" s="598">
        <f t="shared" si="23"/>
        <v>3011909.5133333337</v>
      </c>
      <c r="T152" s="572"/>
      <c r="U152" s="607"/>
      <c r="V152" s="607"/>
      <c r="W152" s="607"/>
      <c r="X152" s="607"/>
      <c r="Y152" s="585"/>
      <c r="Z152" s="585"/>
    </row>
    <row r="153" spans="1:26">
      <c r="A153" s="568"/>
      <c r="B153" s="568"/>
      <c r="C153" s="593">
        <v>144</v>
      </c>
      <c r="D153" s="570"/>
      <c r="E153" s="595" t="s">
        <v>595</v>
      </c>
      <c r="F153" s="620">
        <f>SUM(F149:F152)</f>
        <v>208596114.92999998</v>
      </c>
      <c r="G153" s="620">
        <f t="shared" ref="G153:S153" si="25">SUM(G149:G152)</f>
        <v>29180501.140000001</v>
      </c>
      <c r="H153" s="620">
        <f t="shared" si="25"/>
        <v>50161476.419999994</v>
      </c>
      <c r="I153" s="620">
        <f t="shared" si="25"/>
        <v>69735221.349999994</v>
      </c>
      <c r="J153" s="620">
        <f t="shared" si="25"/>
        <v>82184798.099999994</v>
      </c>
      <c r="K153" s="620">
        <f t="shared" si="25"/>
        <v>92210152.099999994</v>
      </c>
      <c r="L153" s="620">
        <f t="shared" si="25"/>
        <v>101821898.73999999</v>
      </c>
      <c r="M153" s="620">
        <f t="shared" si="25"/>
        <v>110416314.39</v>
      </c>
      <c r="N153" s="620">
        <f t="shared" si="25"/>
        <v>119642629.21000001</v>
      </c>
      <c r="O153" s="620">
        <f t="shared" si="25"/>
        <v>129203718.92</v>
      </c>
      <c r="P153" s="620">
        <f t="shared" si="25"/>
        <v>142881922.75</v>
      </c>
      <c r="Q153" s="620">
        <f t="shared" si="25"/>
        <v>159398333.06999999</v>
      </c>
      <c r="R153" s="620">
        <f t="shared" si="25"/>
        <v>189551211.09999999</v>
      </c>
      <c r="S153" s="620">
        <f t="shared" si="25"/>
        <v>107159219.10041668</v>
      </c>
      <c r="T153" s="572"/>
      <c r="U153" s="608">
        <f>S153</f>
        <v>107159219.10041668</v>
      </c>
      <c r="V153" s="607"/>
      <c r="W153" s="607"/>
      <c r="X153" s="608"/>
      <c r="Y153" s="585"/>
      <c r="Z153" s="585"/>
    </row>
    <row r="154" spans="1:26">
      <c r="A154" s="568"/>
      <c r="B154" s="568"/>
      <c r="C154" s="593">
        <v>145</v>
      </c>
      <c r="D154" s="570"/>
      <c r="E154" s="650"/>
      <c r="F154" s="596"/>
      <c r="G154" s="678"/>
      <c r="H154" s="598"/>
      <c r="I154" s="598"/>
      <c r="J154" s="599"/>
      <c r="K154" s="600"/>
      <c r="L154" s="601"/>
      <c r="M154" s="602"/>
      <c r="N154" s="603"/>
      <c r="O154" s="604"/>
      <c r="P154" s="605"/>
      <c r="Q154" s="679"/>
      <c r="R154" s="596"/>
      <c r="S154" s="598">
        <f t="shared" si="23"/>
        <v>0</v>
      </c>
      <c r="T154" s="572"/>
      <c r="U154" s="607"/>
      <c r="V154" s="607"/>
      <c r="W154" s="607"/>
      <c r="X154" s="607"/>
      <c r="Y154" s="585"/>
      <c r="Z154" s="585"/>
    </row>
    <row r="155" spans="1:26">
      <c r="A155" s="568" t="s">
        <v>596</v>
      </c>
      <c r="B155" s="568" t="s">
        <v>398</v>
      </c>
      <c r="C155" s="593">
        <v>146</v>
      </c>
      <c r="D155" s="570" t="str">
        <f>+A155</f>
        <v>4073</v>
      </c>
      <c r="E155" s="595" t="s">
        <v>597</v>
      </c>
      <c r="F155" s="596">
        <v>0</v>
      </c>
      <c r="G155" s="678">
        <v>0</v>
      </c>
      <c r="H155" s="598">
        <v>0</v>
      </c>
      <c r="I155" s="598">
        <v>0</v>
      </c>
      <c r="J155" s="599">
        <v>0</v>
      </c>
      <c r="K155" s="600">
        <v>0</v>
      </c>
      <c r="L155" s="601">
        <v>0</v>
      </c>
      <c r="M155" s="602">
        <v>0</v>
      </c>
      <c r="N155" s="603">
        <v>0</v>
      </c>
      <c r="O155" s="604">
        <v>0</v>
      </c>
      <c r="P155" s="605">
        <v>0</v>
      </c>
      <c r="Q155" s="679">
        <v>0</v>
      </c>
      <c r="R155" s="596">
        <v>0</v>
      </c>
      <c r="S155" s="598">
        <f t="shared" si="23"/>
        <v>0</v>
      </c>
      <c r="T155" s="572"/>
      <c r="U155" s="607"/>
      <c r="V155" s="607"/>
      <c r="W155" s="607"/>
      <c r="X155" s="607"/>
      <c r="Y155" s="585"/>
      <c r="Z155" s="585"/>
    </row>
    <row r="156" spans="1:26">
      <c r="A156" s="568"/>
      <c r="B156" s="568"/>
      <c r="C156" s="593">
        <v>147</v>
      </c>
      <c r="D156" s="570"/>
      <c r="E156" s="650"/>
      <c r="F156" s="596"/>
      <c r="G156" s="678"/>
      <c r="H156" s="598"/>
      <c r="I156" s="598"/>
      <c r="J156" s="599"/>
      <c r="K156" s="600"/>
      <c r="L156" s="601"/>
      <c r="M156" s="602"/>
      <c r="N156" s="603"/>
      <c r="O156" s="604"/>
      <c r="P156" s="605"/>
      <c r="Q156" s="679"/>
      <c r="R156" s="596"/>
      <c r="S156" s="598">
        <f t="shared" si="23"/>
        <v>0</v>
      </c>
      <c r="T156" s="572"/>
      <c r="U156" s="607"/>
      <c r="V156" s="607"/>
      <c r="W156" s="607"/>
      <c r="X156" s="607"/>
      <c r="Y156" s="585"/>
      <c r="Z156" s="585"/>
    </row>
    <row r="157" spans="1:26">
      <c r="A157" s="592" t="s">
        <v>598</v>
      </c>
      <c r="B157" s="592" t="s">
        <v>398</v>
      </c>
      <c r="C157" s="593">
        <v>148</v>
      </c>
      <c r="D157" s="594" t="str">
        <f>+A157</f>
        <v>4081</v>
      </c>
      <c r="E157" s="595" t="s">
        <v>599</v>
      </c>
      <c r="F157" s="596">
        <v>24749541.870000001</v>
      </c>
      <c r="G157" s="678">
        <v>3836972.66</v>
      </c>
      <c r="H157" s="598">
        <v>6751554.4400000004</v>
      </c>
      <c r="I157" s="598">
        <v>9432019.3200000003</v>
      </c>
      <c r="J157" s="599">
        <v>11257476.91</v>
      </c>
      <c r="K157" s="600">
        <v>12596899.210000001</v>
      </c>
      <c r="L157" s="601">
        <v>13829823.17</v>
      </c>
      <c r="M157" s="602">
        <v>14936881.880000001</v>
      </c>
      <c r="N157" s="603">
        <v>15914791.720000001</v>
      </c>
      <c r="O157" s="604">
        <v>17067350.68</v>
      </c>
      <c r="P157" s="605">
        <v>18557185.190000001</v>
      </c>
      <c r="Q157" s="679">
        <v>20462300.530000001</v>
      </c>
      <c r="R157" s="596">
        <v>23821833.370000001</v>
      </c>
      <c r="S157" s="598">
        <f t="shared" si="23"/>
        <v>14077411.944166668</v>
      </c>
      <c r="T157" s="572"/>
      <c r="U157" s="607"/>
      <c r="V157" s="607"/>
      <c r="W157" s="607"/>
      <c r="X157" s="607"/>
      <c r="Y157" s="585"/>
      <c r="Z157" s="585"/>
    </row>
    <row r="158" spans="1:26">
      <c r="A158" s="592" t="s">
        <v>600</v>
      </c>
      <c r="B158" s="592" t="s">
        <v>398</v>
      </c>
      <c r="C158" s="593">
        <v>149</v>
      </c>
      <c r="D158" s="594" t="s">
        <v>601</v>
      </c>
      <c r="E158" s="595" t="s">
        <v>602</v>
      </c>
      <c r="F158" s="596">
        <v>2089762.22</v>
      </c>
      <c r="G158" s="678">
        <v>211533.78</v>
      </c>
      <c r="H158" s="598">
        <v>420032.08</v>
      </c>
      <c r="I158" s="598">
        <v>640876.53</v>
      </c>
      <c r="J158" s="599">
        <v>843451.4</v>
      </c>
      <c r="K158" s="600">
        <v>1017339.53</v>
      </c>
      <c r="L158" s="601">
        <v>1186862.9099999999</v>
      </c>
      <c r="M158" s="602">
        <v>1239648.44</v>
      </c>
      <c r="N158" s="603">
        <v>1429082.66</v>
      </c>
      <c r="O158" s="604">
        <v>1601150.82</v>
      </c>
      <c r="P158" s="605">
        <v>1756791.44</v>
      </c>
      <c r="Q158" s="679">
        <v>1915268.6</v>
      </c>
      <c r="R158" s="596">
        <v>2104822.19</v>
      </c>
      <c r="S158" s="598">
        <f t="shared" si="23"/>
        <v>1196610.86625</v>
      </c>
      <c r="T158" s="572"/>
      <c r="U158" s="607"/>
      <c r="V158" s="607"/>
      <c r="W158" s="607"/>
      <c r="X158" s="607"/>
      <c r="Y158" s="585"/>
      <c r="Z158" s="585"/>
    </row>
    <row r="159" spans="1:26">
      <c r="A159" s="592"/>
      <c r="B159" s="592"/>
      <c r="C159" s="593">
        <v>150</v>
      </c>
      <c r="D159" s="594"/>
      <c r="E159" s="650" t="s">
        <v>603</v>
      </c>
      <c r="F159" s="620">
        <f>+F157+F158</f>
        <v>26839304.09</v>
      </c>
      <c r="G159" s="620">
        <f t="shared" ref="G159:S159" si="26">+G157+G158</f>
        <v>4048506.44</v>
      </c>
      <c r="H159" s="620">
        <f t="shared" si="26"/>
        <v>7171586.5200000005</v>
      </c>
      <c r="I159" s="620">
        <f t="shared" si="26"/>
        <v>10072895.85</v>
      </c>
      <c r="J159" s="620">
        <f t="shared" si="26"/>
        <v>12100928.310000001</v>
      </c>
      <c r="K159" s="620">
        <f t="shared" si="26"/>
        <v>13614238.74</v>
      </c>
      <c r="L159" s="620">
        <f t="shared" si="26"/>
        <v>15016686.08</v>
      </c>
      <c r="M159" s="620">
        <f t="shared" si="26"/>
        <v>16176530.32</v>
      </c>
      <c r="N159" s="620">
        <f t="shared" si="26"/>
        <v>17343874.379999999</v>
      </c>
      <c r="O159" s="620">
        <f t="shared" si="26"/>
        <v>18668501.5</v>
      </c>
      <c r="P159" s="620">
        <f t="shared" si="26"/>
        <v>20313976.630000003</v>
      </c>
      <c r="Q159" s="620">
        <f t="shared" si="26"/>
        <v>22377569.130000003</v>
      </c>
      <c r="R159" s="620">
        <f t="shared" si="26"/>
        <v>25926655.560000002</v>
      </c>
      <c r="S159" s="620">
        <f t="shared" si="26"/>
        <v>15274022.810416669</v>
      </c>
      <c r="T159" s="572"/>
      <c r="U159" s="608">
        <f>S159</f>
        <v>15274022.810416669</v>
      </c>
      <c r="V159" s="607"/>
      <c r="W159" s="607"/>
      <c r="X159" s="608"/>
      <c r="Y159" s="585"/>
      <c r="Z159" s="585"/>
    </row>
    <row r="160" spans="1:26">
      <c r="A160" s="592"/>
      <c r="B160" s="592"/>
      <c r="C160" s="593">
        <v>151</v>
      </c>
      <c r="D160" s="594"/>
      <c r="E160" s="650"/>
      <c r="F160" s="596"/>
      <c r="G160" s="678"/>
      <c r="H160" s="598"/>
      <c r="I160" s="598"/>
      <c r="J160" s="599"/>
      <c r="K160" s="600"/>
      <c r="L160" s="601"/>
      <c r="M160" s="602"/>
      <c r="N160" s="603"/>
      <c r="O160" s="604"/>
      <c r="P160" s="605"/>
      <c r="Q160" s="679"/>
      <c r="R160" s="596"/>
      <c r="S160" s="598">
        <f t="shared" si="23"/>
        <v>0</v>
      </c>
      <c r="T160" s="572"/>
      <c r="U160" s="607"/>
      <c r="V160" s="607"/>
      <c r="W160" s="607"/>
      <c r="X160" s="607"/>
      <c r="Y160" s="585"/>
      <c r="Z160" s="585"/>
    </row>
    <row r="161" spans="1:26">
      <c r="A161" s="592" t="s">
        <v>604</v>
      </c>
      <c r="B161" s="592" t="s">
        <v>398</v>
      </c>
      <c r="C161" s="593">
        <v>152</v>
      </c>
      <c r="D161" s="594" t="str">
        <f>+A161</f>
        <v>4032</v>
      </c>
      <c r="E161" s="595" t="s">
        <v>605</v>
      </c>
      <c r="F161" s="596">
        <v>25145321.359999999</v>
      </c>
      <c r="G161" s="678">
        <v>1807641.44</v>
      </c>
      <c r="H161" s="598">
        <v>3662870.53</v>
      </c>
      <c r="I161" s="598">
        <v>5500503.2699999996</v>
      </c>
      <c r="J161" s="599">
        <v>7345620.5999999996</v>
      </c>
      <c r="K161" s="600">
        <v>9204261.5399999991</v>
      </c>
      <c r="L161" s="601">
        <v>11070351.52</v>
      </c>
      <c r="M161" s="602">
        <v>12942828.140000001</v>
      </c>
      <c r="N161" s="603">
        <v>14826797.029999999</v>
      </c>
      <c r="O161" s="604">
        <v>16728621.310000001</v>
      </c>
      <c r="P161" s="605">
        <v>18641977.399999999</v>
      </c>
      <c r="Q161" s="679">
        <v>20568906.449999999</v>
      </c>
      <c r="R161" s="596">
        <v>22501731.329999998</v>
      </c>
      <c r="S161" s="598">
        <f t="shared" si="23"/>
        <v>12176992.13125</v>
      </c>
      <c r="T161" s="572"/>
      <c r="U161" s="607"/>
      <c r="V161" s="607"/>
      <c r="W161" s="607"/>
      <c r="X161" s="607"/>
      <c r="Y161" s="585"/>
      <c r="Z161" s="585"/>
    </row>
    <row r="162" spans="1:26">
      <c r="A162" s="592" t="s">
        <v>606</v>
      </c>
      <c r="B162" s="592" t="s">
        <v>398</v>
      </c>
      <c r="C162" s="593">
        <v>153</v>
      </c>
      <c r="D162" s="594" t="str">
        <f>+A162</f>
        <v>4042</v>
      </c>
      <c r="E162" s="595" t="s">
        <v>607</v>
      </c>
      <c r="F162" s="596">
        <v>2538010.06</v>
      </c>
      <c r="G162" s="678">
        <v>243401.61</v>
      </c>
      <c r="H162" s="598">
        <v>489696.84</v>
      </c>
      <c r="I162" s="598">
        <v>699331.25</v>
      </c>
      <c r="J162" s="599">
        <v>936229.3</v>
      </c>
      <c r="K162" s="600">
        <v>1172861.54</v>
      </c>
      <c r="L162" s="601">
        <v>1409534.14</v>
      </c>
      <c r="M162" s="602">
        <v>1630631.32</v>
      </c>
      <c r="N162" s="603">
        <v>1851728.5</v>
      </c>
      <c r="O162" s="604">
        <v>2072825.68</v>
      </c>
      <c r="P162" s="605">
        <v>2294485.88</v>
      </c>
      <c r="Q162" s="679">
        <v>2515583.06</v>
      </c>
      <c r="R162" s="596">
        <v>2736728</v>
      </c>
      <c r="S162" s="598">
        <f t="shared" si="23"/>
        <v>1496139.8458333332</v>
      </c>
      <c r="T162" s="572"/>
      <c r="U162" s="607"/>
      <c r="V162" s="607"/>
      <c r="W162" s="607"/>
      <c r="X162" s="607"/>
      <c r="Y162" s="585"/>
      <c r="Z162" s="585"/>
    </row>
    <row r="163" spans="1:26">
      <c r="A163" s="592" t="s">
        <v>608</v>
      </c>
      <c r="B163" s="592" t="s">
        <v>398</v>
      </c>
      <c r="C163" s="593">
        <v>154</v>
      </c>
      <c r="D163" s="594" t="str">
        <f>+A163</f>
        <v>4062</v>
      </c>
      <c r="E163" s="595" t="s">
        <v>609</v>
      </c>
      <c r="F163" s="596">
        <v>0</v>
      </c>
      <c r="G163" s="678">
        <v>0</v>
      </c>
      <c r="H163" s="598">
        <v>0</v>
      </c>
      <c r="I163" s="598">
        <v>0</v>
      </c>
      <c r="J163" s="599">
        <v>0</v>
      </c>
      <c r="K163" s="600">
        <v>0</v>
      </c>
      <c r="L163" s="601">
        <v>0</v>
      </c>
      <c r="M163" s="602">
        <v>0</v>
      </c>
      <c r="N163" s="603">
        <v>0</v>
      </c>
      <c r="O163" s="604">
        <v>0</v>
      </c>
      <c r="P163" s="605">
        <v>0</v>
      </c>
      <c r="Q163" s="679">
        <v>0</v>
      </c>
      <c r="R163" s="596">
        <v>0</v>
      </c>
      <c r="S163" s="598">
        <f t="shared" si="23"/>
        <v>0</v>
      </c>
      <c r="T163" s="572"/>
      <c r="U163" s="607"/>
      <c r="V163" s="607"/>
      <c r="W163" s="607"/>
      <c r="X163" s="607"/>
      <c r="Y163" s="585"/>
      <c r="Z163" s="585"/>
    </row>
    <row r="164" spans="1:26">
      <c r="A164" s="592"/>
      <c r="B164" s="592"/>
      <c r="C164" s="593">
        <v>155</v>
      </c>
      <c r="D164" s="594"/>
      <c r="E164" s="595" t="s">
        <v>610</v>
      </c>
      <c r="F164" s="620">
        <f>SUM(F161:F163)</f>
        <v>27683331.419999998</v>
      </c>
      <c r="G164" s="620">
        <f t="shared" ref="G164:S164" si="27">SUM(G161:G163)</f>
        <v>2051043.0499999998</v>
      </c>
      <c r="H164" s="620">
        <f t="shared" si="27"/>
        <v>4152567.3699999996</v>
      </c>
      <c r="I164" s="620">
        <f t="shared" si="27"/>
        <v>6199834.5199999996</v>
      </c>
      <c r="J164" s="620">
        <f t="shared" si="27"/>
        <v>8281849.8999999994</v>
      </c>
      <c r="K164" s="620">
        <f t="shared" si="27"/>
        <v>10377123.079999998</v>
      </c>
      <c r="L164" s="620">
        <f t="shared" si="27"/>
        <v>12479885.66</v>
      </c>
      <c r="M164" s="620">
        <f t="shared" si="27"/>
        <v>14573459.460000001</v>
      </c>
      <c r="N164" s="620">
        <f t="shared" si="27"/>
        <v>16678525.529999999</v>
      </c>
      <c r="O164" s="620">
        <f t="shared" si="27"/>
        <v>18801446.990000002</v>
      </c>
      <c r="P164" s="620">
        <f t="shared" si="27"/>
        <v>20936463.279999997</v>
      </c>
      <c r="Q164" s="620">
        <f t="shared" si="27"/>
        <v>23084489.509999998</v>
      </c>
      <c r="R164" s="620">
        <f t="shared" si="27"/>
        <v>25238459.329999998</v>
      </c>
      <c r="S164" s="620">
        <f t="shared" si="27"/>
        <v>13673131.977083333</v>
      </c>
      <c r="T164" s="572"/>
      <c r="U164" s="608">
        <f>S164</f>
        <v>13673131.977083333</v>
      </c>
      <c r="V164" s="607"/>
      <c r="W164" s="607"/>
      <c r="X164" s="608"/>
      <c r="Y164" s="585"/>
      <c r="Z164" s="585"/>
    </row>
    <row r="165" spans="1:26">
      <c r="A165" s="592"/>
      <c r="B165" s="592"/>
      <c r="C165" s="593">
        <v>156</v>
      </c>
      <c r="D165" s="594"/>
      <c r="E165" s="650"/>
      <c r="F165" s="596"/>
      <c r="G165" s="678"/>
      <c r="H165" s="598"/>
      <c r="I165" s="598"/>
      <c r="J165" s="599"/>
      <c r="K165" s="600"/>
      <c r="L165" s="601"/>
      <c r="M165" s="602"/>
      <c r="N165" s="603"/>
      <c r="O165" s="604"/>
      <c r="P165" s="605"/>
      <c r="Q165" s="679"/>
      <c r="R165" s="596"/>
      <c r="S165" s="598">
        <f t="shared" si="23"/>
        <v>0</v>
      </c>
      <c r="T165" s="572"/>
      <c r="U165" s="607"/>
      <c r="V165" s="607"/>
      <c r="W165" s="607"/>
      <c r="X165" s="607"/>
      <c r="Y165" s="585"/>
      <c r="Z165" s="585"/>
    </row>
    <row r="166" spans="1:26">
      <c r="A166" s="592" t="s">
        <v>611</v>
      </c>
      <c r="B166" s="592" t="s">
        <v>398</v>
      </c>
      <c r="C166" s="593">
        <v>157</v>
      </c>
      <c r="D166" s="594" t="str">
        <f>+A166</f>
        <v>4271</v>
      </c>
      <c r="E166" s="595" t="s">
        <v>612</v>
      </c>
      <c r="F166" s="596">
        <v>0</v>
      </c>
      <c r="G166" s="678">
        <v>0</v>
      </c>
      <c r="H166" s="598">
        <v>0</v>
      </c>
      <c r="I166" s="598">
        <v>0</v>
      </c>
      <c r="J166" s="599">
        <v>0</v>
      </c>
      <c r="K166" s="600">
        <v>0</v>
      </c>
      <c r="L166" s="601">
        <v>0</v>
      </c>
      <c r="M166" s="602">
        <v>0</v>
      </c>
      <c r="N166" s="603">
        <v>0</v>
      </c>
      <c r="O166" s="604">
        <v>0</v>
      </c>
      <c r="P166" s="605">
        <v>0</v>
      </c>
      <c r="Q166" s="679">
        <v>0</v>
      </c>
      <c r="R166" s="596">
        <v>0</v>
      </c>
      <c r="S166" s="598">
        <f t="shared" si="23"/>
        <v>0</v>
      </c>
      <c r="T166" s="572"/>
      <c r="U166" s="607"/>
      <c r="V166" s="607"/>
      <c r="W166" s="607"/>
      <c r="X166" s="607"/>
      <c r="Y166" s="585"/>
      <c r="Z166" s="585"/>
    </row>
    <row r="167" spans="1:26">
      <c r="A167" s="592" t="s">
        <v>613</v>
      </c>
      <c r="B167" s="592" t="s">
        <v>398</v>
      </c>
      <c r="C167" s="593">
        <v>158</v>
      </c>
      <c r="D167" s="594" t="str">
        <f>+A167</f>
        <v>4279</v>
      </c>
      <c r="E167" s="595" t="s">
        <v>614</v>
      </c>
      <c r="F167" s="596">
        <v>11047666.279999999</v>
      </c>
      <c r="G167" s="678">
        <v>929093.54</v>
      </c>
      <c r="H167" s="598">
        <v>1857968.35</v>
      </c>
      <c r="I167" s="598">
        <v>2786843.12</v>
      </c>
      <c r="J167" s="599">
        <v>3715717.91</v>
      </c>
      <c r="K167" s="600">
        <v>4644373.96</v>
      </c>
      <c r="L167" s="601">
        <v>5573030.0099999998</v>
      </c>
      <c r="M167" s="602">
        <v>6501686.0499999998</v>
      </c>
      <c r="N167" s="603">
        <v>7430263.3399999999</v>
      </c>
      <c r="O167" s="604">
        <v>8358840.6399999997</v>
      </c>
      <c r="P167" s="605">
        <v>9287417.9199999999</v>
      </c>
      <c r="Q167" s="679">
        <v>10215995.220000001</v>
      </c>
      <c r="R167" s="596">
        <v>11144572.52</v>
      </c>
      <c r="S167" s="598">
        <f t="shared" si="23"/>
        <v>6033112.455000001</v>
      </c>
      <c r="T167" s="572"/>
      <c r="U167" s="607"/>
      <c r="V167" s="607"/>
      <c r="W167" s="607"/>
      <c r="X167" s="607"/>
      <c r="Y167" s="585"/>
      <c r="Z167" s="585"/>
    </row>
    <row r="168" spans="1:26">
      <c r="A168" s="592" t="s">
        <v>613</v>
      </c>
      <c r="B168" s="592" t="s">
        <v>615</v>
      </c>
      <c r="C168" s="593">
        <v>159</v>
      </c>
      <c r="D168" s="594" t="str">
        <f>A168&amp;"."&amp;B168</f>
        <v>4279.1</v>
      </c>
      <c r="E168" s="621" t="s">
        <v>616</v>
      </c>
      <c r="F168" s="596">
        <v>0</v>
      </c>
      <c r="G168" s="678">
        <v>0</v>
      </c>
      <c r="H168" s="598">
        <v>0</v>
      </c>
      <c r="I168" s="598">
        <v>0</v>
      </c>
      <c r="J168" s="599">
        <v>0</v>
      </c>
      <c r="K168" s="600">
        <v>0</v>
      </c>
      <c r="L168" s="601">
        <v>0</v>
      </c>
      <c r="M168" s="602">
        <v>0</v>
      </c>
      <c r="N168" s="603">
        <v>0</v>
      </c>
      <c r="O168" s="604">
        <v>0</v>
      </c>
      <c r="P168" s="605">
        <v>0</v>
      </c>
      <c r="Q168" s="679">
        <v>0</v>
      </c>
      <c r="R168" s="596">
        <v>0</v>
      </c>
      <c r="S168" s="598">
        <f t="shared" si="23"/>
        <v>0</v>
      </c>
      <c r="T168" s="572"/>
      <c r="U168" s="607"/>
      <c r="V168" s="607"/>
      <c r="W168" s="607"/>
      <c r="X168" s="607"/>
      <c r="Y168" s="585"/>
      <c r="Z168" s="585"/>
    </row>
    <row r="169" spans="1:26">
      <c r="A169" s="592" t="s">
        <v>617</v>
      </c>
      <c r="B169" s="592" t="s">
        <v>618</v>
      </c>
      <c r="C169" s="593">
        <v>160</v>
      </c>
      <c r="D169" s="594" t="str">
        <f>+A169</f>
        <v>4310</v>
      </c>
      <c r="E169" s="595" t="s">
        <v>314</v>
      </c>
      <c r="F169" s="596">
        <v>227969.41</v>
      </c>
      <c r="G169" s="678">
        <v>30677.119999999999</v>
      </c>
      <c r="H169" s="598">
        <v>81587.850000000006</v>
      </c>
      <c r="I169" s="598">
        <v>149632.70000000001</v>
      </c>
      <c r="J169" s="599">
        <v>228625.65</v>
      </c>
      <c r="K169" s="600">
        <v>311878.78999999998</v>
      </c>
      <c r="L169" s="601">
        <v>391659.7</v>
      </c>
      <c r="M169" s="602">
        <v>436010.29</v>
      </c>
      <c r="N169" s="603">
        <v>501177.14</v>
      </c>
      <c r="O169" s="604">
        <v>556392.51</v>
      </c>
      <c r="P169" s="605">
        <v>607614.67000000004</v>
      </c>
      <c r="Q169" s="679">
        <v>631236.1</v>
      </c>
      <c r="R169" s="596">
        <v>653866.05000000005</v>
      </c>
      <c r="S169" s="598">
        <f t="shared" si="23"/>
        <v>363950.85416666669</v>
      </c>
      <c r="T169" s="572"/>
      <c r="U169" s="607"/>
      <c r="V169" s="607"/>
      <c r="W169" s="607"/>
      <c r="X169" s="607"/>
      <c r="Y169" s="585"/>
      <c r="Z169" s="585"/>
    </row>
    <row r="170" spans="1:26">
      <c r="A170" s="592" t="s">
        <v>617</v>
      </c>
      <c r="B170" s="592" t="s">
        <v>619</v>
      </c>
      <c r="C170" s="593">
        <v>161</v>
      </c>
      <c r="D170" s="692" t="s">
        <v>620</v>
      </c>
      <c r="E170" s="595" t="s">
        <v>621</v>
      </c>
      <c r="F170" s="596">
        <v>27310</v>
      </c>
      <c r="G170" s="678">
        <v>0</v>
      </c>
      <c r="H170" s="598">
        <v>0</v>
      </c>
      <c r="I170" s="598">
        <v>0</v>
      </c>
      <c r="J170" s="599">
        <v>0</v>
      </c>
      <c r="K170" s="600">
        <v>0</v>
      </c>
      <c r="L170" s="601">
        <v>0</v>
      </c>
      <c r="M170" s="602">
        <v>0</v>
      </c>
      <c r="N170" s="603">
        <v>0</v>
      </c>
      <c r="O170" s="604">
        <v>0</v>
      </c>
      <c r="P170" s="605">
        <v>0</v>
      </c>
      <c r="Q170" s="679">
        <v>0</v>
      </c>
      <c r="R170" s="596">
        <v>0</v>
      </c>
      <c r="S170" s="598">
        <f t="shared" si="23"/>
        <v>1137.9166666666667</v>
      </c>
      <c r="T170" s="572"/>
      <c r="U170" s="607"/>
      <c r="V170" s="607"/>
      <c r="W170" s="607"/>
      <c r="X170" s="607"/>
      <c r="Y170" s="585"/>
      <c r="Z170" s="585"/>
    </row>
    <row r="171" spans="1:26">
      <c r="A171" s="592" t="s">
        <v>622</v>
      </c>
      <c r="B171" s="592" t="s">
        <v>398</v>
      </c>
      <c r="C171" s="593">
        <v>162</v>
      </c>
      <c r="D171" s="594" t="str">
        <f>+A171</f>
        <v>4280</v>
      </c>
      <c r="E171" s="595" t="s">
        <v>623</v>
      </c>
      <c r="F171" s="596">
        <v>172248.52</v>
      </c>
      <c r="G171" s="678">
        <v>14351.32</v>
      </c>
      <c r="H171" s="598">
        <v>28702.639999999999</v>
      </c>
      <c r="I171" s="598">
        <v>42872.84</v>
      </c>
      <c r="J171" s="599">
        <v>57212.84</v>
      </c>
      <c r="K171" s="600">
        <v>71552.84</v>
      </c>
      <c r="L171" s="601">
        <v>85892.84</v>
      </c>
      <c r="M171" s="602">
        <v>100232.84</v>
      </c>
      <c r="N171" s="603">
        <v>114572.84</v>
      </c>
      <c r="O171" s="604">
        <v>128912.84</v>
      </c>
      <c r="P171" s="605">
        <v>143252.84</v>
      </c>
      <c r="Q171" s="679">
        <v>157592.84</v>
      </c>
      <c r="R171" s="596">
        <v>171932.84</v>
      </c>
      <c r="S171" s="598">
        <f t="shared" si="23"/>
        <v>93103.349999999977</v>
      </c>
      <c r="T171" s="572"/>
      <c r="U171" s="607"/>
      <c r="V171" s="607"/>
      <c r="W171" s="607"/>
      <c r="X171" s="607"/>
      <c r="Y171" s="585"/>
      <c r="Z171" s="585"/>
    </row>
    <row r="172" spans="1:26">
      <c r="A172" s="592" t="s">
        <v>624</v>
      </c>
      <c r="B172" s="592" t="s">
        <v>398</v>
      </c>
      <c r="C172" s="593">
        <v>163</v>
      </c>
      <c r="D172" s="594" t="str">
        <f>+A172</f>
        <v>4281</v>
      </c>
      <c r="E172" s="595" t="s">
        <v>625</v>
      </c>
      <c r="F172" s="596">
        <v>40970.639999999999</v>
      </c>
      <c r="G172" s="678">
        <v>3414.22</v>
      </c>
      <c r="H172" s="598">
        <v>6828.44</v>
      </c>
      <c r="I172" s="598">
        <v>10242.66</v>
      </c>
      <c r="J172" s="599">
        <v>13656.88</v>
      </c>
      <c r="K172" s="600">
        <v>17071.099999999999</v>
      </c>
      <c r="L172" s="601">
        <v>20485.32</v>
      </c>
      <c r="M172" s="602">
        <v>23899.54</v>
      </c>
      <c r="N172" s="603">
        <v>27313.759999999998</v>
      </c>
      <c r="O172" s="604">
        <v>30727.98</v>
      </c>
      <c r="P172" s="605">
        <v>34142.199999999997</v>
      </c>
      <c r="Q172" s="679">
        <v>37556.42</v>
      </c>
      <c r="R172" s="596">
        <v>40970.639999999999</v>
      </c>
      <c r="S172" s="598">
        <f t="shared" si="23"/>
        <v>22192.429999999997</v>
      </c>
      <c r="T172" s="572"/>
      <c r="U172" s="607"/>
      <c r="V172" s="607"/>
      <c r="W172" s="607"/>
      <c r="X172" s="607"/>
      <c r="Y172" s="585"/>
      <c r="Z172" s="585"/>
    </row>
    <row r="173" spans="1:26">
      <c r="A173" s="592"/>
      <c r="B173" s="592"/>
      <c r="C173" s="593">
        <v>164</v>
      </c>
      <c r="D173" s="594"/>
      <c r="E173" s="595" t="s">
        <v>626</v>
      </c>
      <c r="F173" s="620">
        <f>SUM(F166:F172)</f>
        <v>11516164.85</v>
      </c>
      <c r="G173" s="620">
        <f t="shared" ref="G173:S173" si="28">SUM(G166:G172)</f>
        <v>977536.2</v>
      </c>
      <c r="H173" s="620">
        <f t="shared" si="28"/>
        <v>1975087.28</v>
      </c>
      <c r="I173" s="620">
        <f t="shared" si="28"/>
        <v>2989591.3200000003</v>
      </c>
      <c r="J173" s="620">
        <f t="shared" si="28"/>
        <v>4015213.28</v>
      </c>
      <c r="K173" s="620">
        <f t="shared" si="28"/>
        <v>5044876.6899999995</v>
      </c>
      <c r="L173" s="620">
        <f t="shared" si="28"/>
        <v>6071067.8700000001</v>
      </c>
      <c r="M173" s="620">
        <f t="shared" si="28"/>
        <v>7061828.7199999997</v>
      </c>
      <c r="N173" s="620">
        <f t="shared" si="28"/>
        <v>8073327.0799999991</v>
      </c>
      <c r="O173" s="620">
        <f t="shared" si="28"/>
        <v>9074873.9700000007</v>
      </c>
      <c r="P173" s="620">
        <f t="shared" si="28"/>
        <v>10072427.629999999</v>
      </c>
      <c r="Q173" s="620">
        <f t="shared" si="28"/>
        <v>11042380.58</v>
      </c>
      <c r="R173" s="620">
        <f t="shared" si="28"/>
        <v>12011342.050000001</v>
      </c>
      <c r="S173" s="620">
        <f t="shared" si="28"/>
        <v>6513497.0058333343</v>
      </c>
      <c r="T173" s="572"/>
      <c r="U173" s="608">
        <f>S173</f>
        <v>6513497.0058333343</v>
      </c>
      <c r="V173" s="607"/>
      <c r="W173" s="607"/>
      <c r="X173" s="608"/>
      <c r="Y173" s="585"/>
      <c r="Z173" s="585"/>
    </row>
    <row r="174" spans="1:26">
      <c r="A174" s="592"/>
      <c r="B174" s="592"/>
      <c r="C174" s="593">
        <v>165</v>
      </c>
      <c r="D174" s="594"/>
      <c r="E174" s="595"/>
      <c r="F174" s="596"/>
      <c r="G174" s="678"/>
      <c r="H174" s="598"/>
      <c r="I174" s="598"/>
      <c r="J174" s="599"/>
      <c r="K174" s="600"/>
      <c r="L174" s="601"/>
      <c r="M174" s="602"/>
      <c r="N174" s="603"/>
      <c r="O174" s="604"/>
      <c r="P174" s="605"/>
      <c r="Q174" s="679"/>
      <c r="R174" s="596"/>
      <c r="S174" s="598">
        <f t="shared" si="23"/>
        <v>0</v>
      </c>
      <c r="T174" s="572"/>
      <c r="U174" s="607"/>
      <c r="V174" s="607"/>
      <c r="W174" s="607"/>
      <c r="X174" s="607"/>
      <c r="Y174" s="585"/>
      <c r="Z174" s="585"/>
    </row>
    <row r="175" spans="1:26">
      <c r="A175" s="592" t="s">
        <v>627</v>
      </c>
      <c r="B175" s="592" t="s">
        <v>398</v>
      </c>
      <c r="C175" s="593">
        <v>166</v>
      </c>
      <c r="D175" s="594" t="str">
        <f t="shared" ref="D175:D181" si="29">+A175</f>
        <v>4091</v>
      </c>
      <c r="E175" s="595" t="s">
        <v>628</v>
      </c>
      <c r="F175" s="596">
        <v>3112194.93</v>
      </c>
      <c r="G175" s="678">
        <v>2557266.35</v>
      </c>
      <c r="H175" s="598">
        <v>4076844.5</v>
      </c>
      <c r="I175" s="598">
        <v>5601669.1900000004</v>
      </c>
      <c r="J175" s="599">
        <v>5723490.9400000004</v>
      </c>
      <c r="K175" s="600">
        <v>5087405.2699999996</v>
      </c>
      <c r="L175" s="601">
        <v>3936066.91</v>
      </c>
      <c r="M175" s="602">
        <v>3299654.61</v>
      </c>
      <c r="N175" s="603">
        <v>2254452.36</v>
      </c>
      <c r="O175" s="604">
        <v>342403.22</v>
      </c>
      <c r="P175" s="605">
        <v>694977.99</v>
      </c>
      <c r="Q175" s="679">
        <v>767944.27</v>
      </c>
      <c r="R175" s="596">
        <v>4577015.2699999996</v>
      </c>
      <c r="S175" s="598">
        <f t="shared" si="23"/>
        <v>3182231.7258333336</v>
      </c>
      <c r="T175" s="572"/>
      <c r="U175" s="607"/>
      <c r="V175" s="607"/>
      <c r="W175" s="607"/>
      <c r="X175" s="607"/>
      <c r="Y175" s="585"/>
      <c r="Z175" s="585"/>
    </row>
    <row r="176" spans="1:26">
      <c r="A176" s="592" t="s">
        <v>629</v>
      </c>
      <c r="B176" s="592" t="s">
        <v>398</v>
      </c>
      <c r="C176" s="593">
        <v>167</v>
      </c>
      <c r="D176" s="594" t="str">
        <f t="shared" si="29"/>
        <v>4092</v>
      </c>
      <c r="E176" s="595" t="s">
        <v>630</v>
      </c>
      <c r="F176" s="596">
        <v>2861307.83</v>
      </c>
      <c r="G176" s="678">
        <v>1791.34</v>
      </c>
      <c r="H176" s="598">
        <v>-4072.77</v>
      </c>
      <c r="I176" s="598">
        <v>6168.62</v>
      </c>
      <c r="J176" s="599">
        <v>12619.45</v>
      </c>
      <c r="K176" s="600">
        <v>29679.09</v>
      </c>
      <c r="L176" s="601">
        <v>46194.23</v>
      </c>
      <c r="M176" s="602">
        <v>58088.959999999999</v>
      </c>
      <c r="N176" s="603">
        <v>124414.75</v>
      </c>
      <c r="O176" s="604">
        <v>-3959.8000000000202</v>
      </c>
      <c r="P176" s="605">
        <v>-158977.68</v>
      </c>
      <c r="Q176" s="679">
        <v>-68477.759999999995</v>
      </c>
      <c r="R176" s="596">
        <v>-202120.14</v>
      </c>
      <c r="S176" s="598">
        <f t="shared" si="23"/>
        <v>114421.85625</v>
      </c>
      <c r="T176" s="572"/>
      <c r="U176" s="607"/>
      <c r="V176" s="607"/>
      <c r="W176" s="607"/>
      <c r="X176" s="607"/>
      <c r="Y176" s="585"/>
      <c r="Z176" s="585"/>
    </row>
    <row r="177" spans="1:26">
      <c r="A177" s="592" t="s">
        <v>631</v>
      </c>
      <c r="B177" s="592" t="s">
        <v>398</v>
      </c>
      <c r="C177" s="593">
        <v>168</v>
      </c>
      <c r="D177" s="594" t="str">
        <f t="shared" si="29"/>
        <v>4101</v>
      </c>
      <c r="E177" s="595" t="s">
        <v>632</v>
      </c>
      <c r="F177" s="596">
        <v>41338.980000000003</v>
      </c>
      <c r="G177" s="678">
        <v>-43647.16</v>
      </c>
      <c r="H177" s="598">
        <v>-87294.41</v>
      </c>
      <c r="I177" s="598">
        <v>-479450.32</v>
      </c>
      <c r="J177" s="599">
        <v>-635749.15</v>
      </c>
      <c r="K177" s="600">
        <v>-792047.99</v>
      </c>
      <c r="L177" s="601">
        <v>-547043.65</v>
      </c>
      <c r="M177" s="602">
        <v>-636507.4</v>
      </c>
      <c r="N177" s="603">
        <v>-725971.16</v>
      </c>
      <c r="O177" s="604">
        <v>452676.07</v>
      </c>
      <c r="P177" s="605">
        <v>330098.7</v>
      </c>
      <c r="Q177" s="679">
        <v>2214308.3199999998</v>
      </c>
      <c r="R177" s="596">
        <v>1569439.44</v>
      </c>
      <c r="S177" s="598">
        <f t="shared" si="23"/>
        <v>-12103.245000000034</v>
      </c>
      <c r="T177" s="572"/>
      <c r="U177" s="607"/>
      <c r="V177" s="607"/>
      <c r="W177" s="607"/>
      <c r="X177" s="607"/>
      <c r="Y177" s="585"/>
      <c r="Z177" s="585"/>
    </row>
    <row r="178" spans="1:26">
      <c r="A178" s="592" t="s">
        <v>633</v>
      </c>
      <c r="B178" s="592" t="s">
        <v>398</v>
      </c>
      <c r="C178" s="593">
        <v>169</v>
      </c>
      <c r="D178" s="693" t="str">
        <f t="shared" si="29"/>
        <v>4102</v>
      </c>
      <c r="E178" s="595" t="s">
        <v>634</v>
      </c>
      <c r="F178" s="596">
        <v>0</v>
      </c>
      <c r="G178" s="678">
        <v>0</v>
      </c>
      <c r="H178" s="598">
        <v>0</v>
      </c>
      <c r="I178" s="598">
        <v>0</v>
      </c>
      <c r="J178" s="599">
        <v>0</v>
      </c>
      <c r="K178" s="600">
        <v>0</v>
      </c>
      <c r="L178" s="601">
        <v>0</v>
      </c>
      <c r="M178" s="602">
        <v>0</v>
      </c>
      <c r="N178" s="603">
        <v>0</v>
      </c>
      <c r="O178" s="604">
        <v>0</v>
      </c>
      <c r="P178" s="605">
        <v>0</v>
      </c>
      <c r="Q178" s="679">
        <v>0</v>
      </c>
      <c r="R178" s="596">
        <v>0</v>
      </c>
      <c r="S178" s="598">
        <f t="shared" si="23"/>
        <v>0</v>
      </c>
      <c r="T178" s="572"/>
      <c r="U178" s="607"/>
      <c r="V178" s="607"/>
      <c r="W178" s="607"/>
      <c r="X178" s="607"/>
      <c r="Y178" s="585"/>
      <c r="Z178" s="585"/>
    </row>
    <row r="179" spans="1:26">
      <c r="A179" s="592" t="s">
        <v>635</v>
      </c>
      <c r="B179" s="592" t="s">
        <v>398</v>
      </c>
      <c r="C179" s="593">
        <v>170</v>
      </c>
      <c r="D179" s="694" t="str">
        <f t="shared" si="29"/>
        <v>4111</v>
      </c>
      <c r="E179" s="595" t="s">
        <v>636</v>
      </c>
      <c r="F179" s="596">
        <v>0</v>
      </c>
      <c r="G179" s="678">
        <v>0</v>
      </c>
      <c r="H179" s="598">
        <v>0</v>
      </c>
      <c r="I179" s="598">
        <v>0</v>
      </c>
      <c r="J179" s="599">
        <v>0</v>
      </c>
      <c r="K179" s="600">
        <v>0</v>
      </c>
      <c r="L179" s="601">
        <v>0</v>
      </c>
      <c r="M179" s="602">
        <v>0</v>
      </c>
      <c r="N179" s="603">
        <v>0</v>
      </c>
      <c r="O179" s="604">
        <v>0</v>
      </c>
      <c r="P179" s="605">
        <v>0</v>
      </c>
      <c r="Q179" s="679">
        <v>0</v>
      </c>
      <c r="R179" s="596">
        <v>0</v>
      </c>
      <c r="S179" s="598">
        <f t="shared" si="23"/>
        <v>0</v>
      </c>
      <c r="T179" s="572"/>
      <c r="U179" s="607"/>
      <c r="V179" s="607"/>
      <c r="W179" s="607"/>
      <c r="X179" s="607"/>
      <c r="Y179" s="585"/>
      <c r="Z179" s="585"/>
    </row>
    <row r="180" spans="1:26">
      <c r="A180" s="592" t="s">
        <v>637</v>
      </c>
      <c r="B180" s="592" t="s">
        <v>398</v>
      </c>
      <c r="C180" s="593">
        <v>171</v>
      </c>
      <c r="D180" s="693" t="str">
        <f t="shared" si="29"/>
        <v>4112</v>
      </c>
      <c r="E180" s="595" t="s">
        <v>638</v>
      </c>
      <c r="F180" s="596">
        <v>0</v>
      </c>
      <c r="G180" s="678">
        <v>0</v>
      </c>
      <c r="H180" s="598">
        <v>0</v>
      </c>
      <c r="I180" s="598">
        <v>0</v>
      </c>
      <c r="J180" s="599">
        <v>0</v>
      </c>
      <c r="K180" s="600">
        <v>0</v>
      </c>
      <c r="L180" s="601">
        <v>0</v>
      </c>
      <c r="M180" s="602">
        <v>0</v>
      </c>
      <c r="N180" s="603">
        <v>0</v>
      </c>
      <c r="O180" s="604">
        <v>0</v>
      </c>
      <c r="P180" s="605">
        <v>0</v>
      </c>
      <c r="Q180" s="679">
        <v>0</v>
      </c>
      <c r="R180" s="596">
        <v>0</v>
      </c>
      <c r="S180" s="598">
        <f t="shared" si="23"/>
        <v>0</v>
      </c>
      <c r="T180" s="572"/>
      <c r="U180" s="607"/>
      <c r="V180" s="607"/>
      <c r="W180" s="607"/>
      <c r="X180" s="607"/>
      <c r="Y180" s="585"/>
      <c r="Z180" s="585"/>
    </row>
    <row r="181" spans="1:26">
      <c r="A181" s="592" t="s">
        <v>639</v>
      </c>
      <c r="B181" s="592" t="s">
        <v>398</v>
      </c>
      <c r="C181" s="593">
        <v>172</v>
      </c>
      <c r="D181" s="594" t="str">
        <f t="shared" si="29"/>
        <v>[4200,4114]</v>
      </c>
      <c r="E181" s="595" t="s">
        <v>640</v>
      </c>
      <c r="F181" s="596">
        <v>-52577</v>
      </c>
      <c r="G181" s="678">
        <v>-4126.08</v>
      </c>
      <c r="H181" s="598">
        <v>-8252.17</v>
      </c>
      <c r="I181" s="598">
        <v>-12378.25</v>
      </c>
      <c r="J181" s="599">
        <v>-16504.330000000002</v>
      </c>
      <c r="K181" s="600">
        <v>-20630.419999999998</v>
      </c>
      <c r="L181" s="601">
        <v>-24404</v>
      </c>
      <c r="M181" s="602">
        <v>-28471.33</v>
      </c>
      <c r="N181" s="603">
        <v>-32538.67</v>
      </c>
      <c r="O181" s="604">
        <v>-36606</v>
      </c>
      <c r="P181" s="605">
        <v>-40673.33</v>
      </c>
      <c r="Q181" s="679">
        <v>-44766.67</v>
      </c>
      <c r="R181" s="596">
        <v>-48834</v>
      </c>
      <c r="S181" s="598">
        <f t="shared" si="23"/>
        <v>-26671.395833333332</v>
      </c>
      <c r="T181" s="572"/>
      <c r="U181" s="607"/>
      <c r="V181" s="607"/>
      <c r="W181" s="607"/>
      <c r="X181" s="607"/>
      <c r="Y181" s="585"/>
      <c r="Z181" s="585"/>
    </row>
    <row r="182" spans="1:26">
      <c r="A182" s="592"/>
      <c r="B182" s="592"/>
      <c r="C182" s="593">
        <v>173</v>
      </c>
      <c r="D182" s="594"/>
      <c r="E182" s="595" t="s">
        <v>641</v>
      </c>
      <c r="F182" s="620">
        <f>SUM(F175:F181)</f>
        <v>5962264.7400000002</v>
      </c>
      <c r="G182" s="620">
        <f t="shared" ref="G182:S182" si="30">SUM(G175:G181)</f>
        <v>2511284.4499999997</v>
      </c>
      <c r="H182" s="620">
        <f t="shared" si="30"/>
        <v>3977225.15</v>
      </c>
      <c r="I182" s="620">
        <f t="shared" si="30"/>
        <v>5116009.24</v>
      </c>
      <c r="J182" s="620">
        <f t="shared" si="30"/>
        <v>5083856.91</v>
      </c>
      <c r="K182" s="620">
        <f t="shared" si="30"/>
        <v>4304405.9499999993</v>
      </c>
      <c r="L182" s="620">
        <f t="shared" si="30"/>
        <v>3410813.49</v>
      </c>
      <c r="M182" s="620">
        <f t="shared" si="30"/>
        <v>2692764.84</v>
      </c>
      <c r="N182" s="620">
        <f t="shared" si="30"/>
        <v>1620357.2799999998</v>
      </c>
      <c r="O182" s="620">
        <f t="shared" si="30"/>
        <v>754513.49</v>
      </c>
      <c r="P182" s="620">
        <f t="shared" si="30"/>
        <v>825425.68</v>
      </c>
      <c r="Q182" s="620">
        <f t="shared" si="30"/>
        <v>2869008.16</v>
      </c>
      <c r="R182" s="620">
        <f t="shared" si="30"/>
        <v>5895500.5700000003</v>
      </c>
      <c r="S182" s="620">
        <f t="shared" si="30"/>
        <v>3257878.9412500001</v>
      </c>
      <c r="T182" s="572"/>
      <c r="U182" s="608">
        <f>S182</f>
        <v>3257878.9412500001</v>
      </c>
      <c r="V182" s="607"/>
      <c r="W182" s="607"/>
      <c r="X182" s="608"/>
      <c r="Y182" s="585"/>
      <c r="Z182" s="585"/>
    </row>
    <row r="183" spans="1:26">
      <c r="A183" s="592"/>
      <c r="B183" s="592"/>
      <c r="C183" s="593">
        <v>174</v>
      </c>
      <c r="D183" s="594"/>
      <c r="E183" s="595"/>
      <c r="F183" s="596"/>
      <c r="G183" s="678"/>
      <c r="H183" s="598"/>
      <c r="I183" s="598"/>
      <c r="J183" s="599"/>
      <c r="K183" s="600"/>
      <c r="L183" s="601"/>
      <c r="M183" s="602"/>
      <c r="N183" s="603"/>
      <c r="O183" s="604"/>
      <c r="P183" s="605"/>
      <c r="Q183" s="679"/>
      <c r="R183" s="596"/>
      <c r="S183" s="598">
        <f t="shared" si="23"/>
        <v>0</v>
      </c>
      <c r="T183" s="572"/>
      <c r="U183" s="607"/>
      <c r="V183" s="607"/>
      <c r="W183" s="607"/>
      <c r="X183" s="607"/>
      <c r="Y183" s="585"/>
      <c r="Z183" s="585"/>
    </row>
    <row r="184" spans="1:26">
      <c r="A184" s="592"/>
      <c r="B184" s="592"/>
      <c r="C184" s="593">
        <v>175</v>
      </c>
      <c r="D184" s="594"/>
      <c r="E184" s="595"/>
      <c r="F184" s="596"/>
      <c r="G184" s="678"/>
      <c r="H184" s="598"/>
      <c r="I184" s="598"/>
      <c r="J184" s="599"/>
      <c r="K184" s="600"/>
      <c r="L184" s="601"/>
      <c r="M184" s="602"/>
      <c r="N184" s="603"/>
      <c r="O184" s="604"/>
      <c r="P184" s="605"/>
      <c r="Q184" s="679"/>
      <c r="R184" s="596"/>
      <c r="S184" s="598">
        <f t="shared" si="23"/>
        <v>0</v>
      </c>
      <c r="T184" s="572"/>
      <c r="U184" s="607"/>
      <c r="V184" s="607"/>
      <c r="W184" s="607"/>
      <c r="X184" s="607"/>
      <c r="Y184" s="585"/>
      <c r="Z184" s="585"/>
    </row>
    <row r="185" spans="1:26">
      <c r="A185" s="592" t="s">
        <v>642</v>
      </c>
      <c r="B185" s="592" t="s">
        <v>398</v>
      </c>
      <c r="C185" s="593">
        <v>176</v>
      </c>
      <c r="D185" s="695" t="s">
        <v>642</v>
      </c>
      <c r="E185" s="595" t="s">
        <v>643</v>
      </c>
      <c r="F185" s="596">
        <v>0</v>
      </c>
      <c r="G185" s="678">
        <v>0</v>
      </c>
      <c r="H185" s="598">
        <v>0</v>
      </c>
      <c r="I185" s="598">
        <v>0</v>
      </c>
      <c r="J185" s="599">
        <v>0</v>
      </c>
      <c r="K185" s="600">
        <v>0</v>
      </c>
      <c r="L185" s="601">
        <v>0</v>
      </c>
      <c r="M185" s="602">
        <v>0</v>
      </c>
      <c r="N185" s="603">
        <v>0</v>
      </c>
      <c r="O185" s="604">
        <v>0</v>
      </c>
      <c r="P185" s="605">
        <v>0</v>
      </c>
      <c r="Q185" s="679">
        <v>0</v>
      </c>
      <c r="R185" s="596">
        <v>0</v>
      </c>
      <c r="S185" s="598">
        <f t="shared" si="23"/>
        <v>0</v>
      </c>
      <c r="T185" s="572"/>
      <c r="U185" s="607"/>
      <c r="V185" s="607"/>
      <c r="W185" s="607"/>
      <c r="X185" s="607"/>
      <c r="Y185" s="585"/>
      <c r="Z185" s="585"/>
    </row>
    <row r="186" spans="1:26">
      <c r="A186" s="592" t="s">
        <v>644</v>
      </c>
      <c r="B186" s="592" t="s">
        <v>398</v>
      </c>
      <c r="C186" s="593">
        <v>177</v>
      </c>
      <c r="D186" s="695" t="s">
        <v>644</v>
      </c>
      <c r="E186" s="595" t="s">
        <v>349</v>
      </c>
      <c r="F186" s="596">
        <v>0</v>
      </c>
      <c r="G186" s="678">
        <v>0</v>
      </c>
      <c r="H186" s="598">
        <v>0</v>
      </c>
      <c r="I186" s="598">
        <v>0</v>
      </c>
      <c r="J186" s="599">
        <v>0</v>
      </c>
      <c r="K186" s="600">
        <v>0</v>
      </c>
      <c r="L186" s="601">
        <v>0</v>
      </c>
      <c r="M186" s="602">
        <v>0</v>
      </c>
      <c r="N186" s="603">
        <v>0</v>
      </c>
      <c r="O186" s="604">
        <v>0</v>
      </c>
      <c r="P186" s="605">
        <v>0</v>
      </c>
      <c r="Q186" s="679">
        <v>0</v>
      </c>
      <c r="R186" s="596">
        <v>0</v>
      </c>
      <c r="S186" s="598">
        <f t="shared" si="23"/>
        <v>0</v>
      </c>
      <c r="T186" s="572"/>
      <c r="U186" s="607"/>
      <c r="V186" s="607"/>
      <c r="W186" s="607"/>
      <c r="X186" s="607"/>
      <c r="Y186" s="585"/>
      <c r="Z186" s="585"/>
    </row>
    <row r="187" spans="1:26">
      <c r="A187" s="592" t="s">
        <v>645</v>
      </c>
      <c r="B187" s="592" t="s">
        <v>398</v>
      </c>
      <c r="C187" s="593">
        <v>178</v>
      </c>
      <c r="D187" s="692" t="s">
        <v>646</v>
      </c>
      <c r="E187" s="595" t="s">
        <v>351</v>
      </c>
      <c r="F187" s="596">
        <v>263833.14</v>
      </c>
      <c r="G187" s="678">
        <v>14753.75</v>
      </c>
      <c r="H187" s="598">
        <v>43293.75</v>
      </c>
      <c r="I187" s="598">
        <v>60860.21</v>
      </c>
      <c r="J187" s="599">
        <v>74110.210000000006</v>
      </c>
      <c r="K187" s="600">
        <v>78050.210000000006</v>
      </c>
      <c r="L187" s="601">
        <v>82558.600000000006</v>
      </c>
      <c r="M187" s="602">
        <v>107911.98</v>
      </c>
      <c r="N187" s="603">
        <v>136956.31</v>
      </c>
      <c r="O187" s="673">
        <v>195295.73</v>
      </c>
      <c r="P187" s="605">
        <v>214414.6</v>
      </c>
      <c r="Q187" s="679">
        <v>224245.8</v>
      </c>
      <c r="R187" s="596">
        <v>232468.15</v>
      </c>
      <c r="S187" s="598">
        <f t="shared" si="23"/>
        <v>123383.48291666666</v>
      </c>
      <c r="T187" s="576"/>
      <c r="U187" s="607"/>
      <c r="V187" s="607"/>
      <c r="W187" s="607"/>
      <c r="X187" s="607"/>
      <c r="Y187" s="585"/>
      <c r="Z187" s="585"/>
    </row>
    <row r="188" spans="1:26">
      <c r="A188" s="592" t="s">
        <v>647</v>
      </c>
      <c r="B188" s="674" t="s">
        <v>398</v>
      </c>
      <c r="C188" s="593">
        <v>179</v>
      </c>
      <c r="D188" s="692" t="s">
        <v>648</v>
      </c>
      <c r="E188" s="595" t="s">
        <v>355</v>
      </c>
      <c r="F188" s="596">
        <v>275000</v>
      </c>
      <c r="G188" s="678">
        <v>0</v>
      </c>
      <c r="H188" s="598">
        <v>0</v>
      </c>
      <c r="I188" s="598">
        <v>39.04</v>
      </c>
      <c r="J188" s="599">
        <v>1138.45</v>
      </c>
      <c r="K188" s="600">
        <v>1138.45</v>
      </c>
      <c r="L188" s="601">
        <v>1138.45</v>
      </c>
      <c r="M188" s="602">
        <v>1183.79</v>
      </c>
      <c r="N188" s="603">
        <v>1183.79</v>
      </c>
      <c r="O188" s="604">
        <v>251183.79</v>
      </c>
      <c r="P188" s="605">
        <v>1001183.79</v>
      </c>
      <c r="Q188" s="679">
        <v>1001183.79</v>
      </c>
      <c r="R188" s="596">
        <v>1001183.79</v>
      </c>
      <c r="S188" s="598">
        <f t="shared" si="23"/>
        <v>241455.43625</v>
      </c>
      <c r="T188" s="572"/>
      <c r="U188" s="607"/>
      <c r="V188" s="607"/>
      <c r="W188" s="607"/>
      <c r="X188" s="607"/>
      <c r="Y188" s="585"/>
      <c r="Z188" s="585"/>
    </row>
    <row r="189" spans="1:26">
      <c r="A189" s="592" t="s">
        <v>398</v>
      </c>
      <c r="B189" s="592" t="s">
        <v>649</v>
      </c>
      <c r="C189" s="593">
        <v>180</v>
      </c>
      <c r="D189" s="692" t="s">
        <v>649</v>
      </c>
      <c r="E189" s="595" t="s">
        <v>650</v>
      </c>
      <c r="F189" s="596">
        <v>140881.34</v>
      </c>
      <c r="G189" s="678">
        <v>10696.89</v>
      </c>
      <c r="H189" s="598">
        <v>22607.64</v>
      </c>
      <c r="I189" s="598">
        <v>36018.39</v>
      </c>
      <c r="J189" s="599">
        <v>45929.14</v>
      </c>
      <c r="K189" s="600">
        <v>50839.89</v>
      </c>
      <c r="L189" s="601">
        <v>62856.41</v>
      </c>
      <c r="M189" s="602">
        <v>74025.3</v>
      </c>
      <c r="N189" s="603">
        <v>83998.75</v>
      </c>
      <c r="O189" s="673">
        <v>94998.41</v>
      </c>
      <c r="P189" s="605">
        <v>101488.85</v>
      </c>
      <c r="Q189" s="679">
        <v>112743.55</v>
      </c>
      <c r="R189" s="596">
        <v>128203.67</v>
      </c>
      <c r="S189" s="598">
        <f t="shared" si="23"/>
        <v>69228.810416666674</v>
      </c>
      <c r="T189" s="572"/>
      <c r="U189" s="607"/>
      <c r="V189" s="607"/>
      <c r="W189" s="607"/>
      <c r="X189" s="607"/>
      <c r="Y189" s="585"/>
      <c r="Z189" s="585"/>
    </row>
    <row r="190" spans="1:26">
      <c r="A190" s="592" t="s">
        <v>651</v>
      </c>
      <c r="B190" s="592" t="s">
        <v>398</v>
      </c>
      <c r="C190" s="593">
        <v>181</v>
      </c>
      <c r="D190" s="692" t="s">
        <v>652</v>
      </c>
      <c r="E190" s="595" t="s">
        <v>359</v>
      </c>
      <c r="F190" s="596">
        <v>213923.08</v>
      </c>
      <c r="G190" s="678">
        <v>0</v>
      </c>
      <c r="H190" s="598">
        <v>0</v>
      </c>
      <c r="I190" s="598">
        <v>631.73</v>
      </c>
      <c r="J190" s="599">
        <v>631.73</v>
      </c>
      <c r="K190" s="600">
        <v>631.73</v>
      </c>
      <c r="L190" s="601">
        <v>631.73</v>
      </c>
      <c r="M190" s="602">
        <v>816.73</v>
      </c>
      <c r="N190" s="603">
        <v>1126.73</v>
      </c>
      <c r="O190" s="673">
        <v>1126.73</v>
      </c>
      <c r="P190" s="605">
        <v>1126.73</v>
      </c>
      <c r="Q190" s="679">
        <v>1436.73</v>
      </c>
      <c r="R190" s="596">
        <v>1436.73</v>
      </c>
      <c r="S190" s="598">
        <f t="shared" si="23"/>
        <v>9653.3729166666672</v>
      </c>
      <c r="T190" s="572"/>
      <c r="U190" s="607"/>
      <c r="V190" s="607"/>
      <c r="W190" s="607"/>
      <c r="X190" s="607"/>
      <c r="Y190" s="585"/>
      <c r="Z190" s="585"/>
    </row>
    <row r="191" spans="1:26">
      <c r="A191" s="592" t="s">
        <v>653</v>
      </c>
      <c r="B191" s="592" t="s">
        <v>398</v>
      </c>
      <c r="C191" s="593">
        <v>182</v>
      </c>
      <c r="D191" s="692" t="s">
        <v>654</v>
      </c>
      <c r="E191" s="595" t="s">
        <v>655</v>
      </c>
      <c r="F191" s="596">
        <v>0</v>
      </c>
      <c r="G191" s="678">
        <v>0</v>
      </c>
      <c r="H191" s="598">
        <v>0</v>
      </c>
      <c r="I191" s="598">
        <v>0</v>
      </c>
      <c r="J191" s="599">
        <v>0</v>
      </c>
      <c r="K191" s="600">
        <v>0</v>
      </c>
      <c r="L191" s="601">
        <v>0</v>
      </c>
      <c r="M191" s="602">
        <v>0</v>
      </c>
      <c r="N191" s="603">
        <v>0</v>
      </c>
      <c r="O191" s="604">
        <v>0</v>
      </c>
      <c r="P191" s="605">
        <v>0</v>
      </c>
      <c r="Q191" s="679">
        <v>0</v>
      </c>
      <c r="R191" s="596">
        <v>0</v>
      </c>
      <c r="S191" s="598">
        <f t="shared" si="23"/>
        <v>0</v>
      </c>
      <c r="T191" s="572"/>
      <c r="U191" s="607"/>
      <c r="V191" s="607"/>
      <c r="W191" s="607"/>
      <c r="X191" s="607"/>
      <c r="Y191" s="585"/>
      <c r="Z191" s="585"/>
    </row>
    <row r="192" spans="1:26">
      <c r="A192" s="568" t="s">
        <v>656</v>
      </c>
      <c r="B192" s="568" t="s">
        <v>654</v>
      </c>
      <c r="C192" s="593">
        <v>183</v>
      </c>
      <c r="D192" s="570" t="str">
        <f>A192&amp;"."&amp;B192</f>
        <v>6011.4171</v>
      </c>
      <c r="E192" s="696" t="s">
        <v>657</v>
      </c>
      <c r="F192" s="596">
        <v>0</v>
      </c>
      <c r="G192" s="678">
        <v>0</v>
      </c>
      <c r="H192" s="598">
        <v>0</v>
      </c>
      <c r="I192" s="598">
        <v>0</v>
      </c>
      <c r="J192" s="599">
        <v>0</v>
      </c>
      <c r="K192" s="600">
        <v>0</v>
      </c>
      <c r="L192" s="601">
        <v>0</v>
      </c>
      <c r="M192" s="602">
        <v>0</v>
      </c>
      <c r="N192" s="603">
        <v>0</v>
      </c>
      <c r="O192" s="604">
        <v>0</v>
      </c>
      <c r="P192" s="605">
        <v>0</v>
      </c>
      <c r="Q192" s="679">
        <v>0</v>
      </c>
      <c r="R192" s="596">
        <v>0</v>
      </c>
      <c r="S192" s="598">
        <f t="shared" si="23"/>
        <v>0</v>
      </c>
      <c r="T192" s="572"/>
      <c r="U192" s="607"/>
      <c r="V192" s="607"/>
      <c r="W192" s="607"/>
      <c r="X192" s="607"/>
      <c r="Y192" s="585"/>
      <c r="Z192" s="585"/>
    </row>
    <row r="193" spans="1:26">
      <c r="A193" s="592" t="s">
        <v>658</v>
      </c>
      <c r="B193" s="592" t="s">
        <v>398</v>
      </c>
      <c r="C193" s="593">
        <v>184</v>
      </c>
      <c r="D193" s="594" t="str">
        <f>+A193</f>
        <v>4082</v>
      </c>
      <c r="E193" s="595" t="s">
        <v>659</v>
      </c>
      <c r="F193" s="596">
        <v>2940.1</v>
      </c>
      <c r="G193" s="678">
        <v>0</v>
      </c>
      <c r="H193" s="598">
        <v>0</v>
      </c>
      <c r="I193" s="598">
        <v>0</v>
      </c>
      <c r="J193" s="599">
        <v>1582.18</v>
      </c>
      <c r="K193" s="600">
        <v>1582.18</v>
      </c>
      <c r="L193" s="601">
        <v>1582.18</v>
      </c>
      <c r="M193" s="602">
        <v>1582.18</v>
      </c>
      <c r="N193" s="603">
        <v>3164.36</v>
      </c>
      <c r="O193" s="604">
        <v>3164.36</v>
      </c>
      <c r="P193" s="605">
        <v>3164.36</v>
      </c>
      <c r="Q193" s="679">
        <v>3164.36</v>
      </c>
      <c r="R193" s="596">
        <v>3164.36</v>
      </c>
      <c r="S193" s="598">
        <f t="shared" si="23"/>
        <v>1836.5325</v>
      </c>
      <c r="T193" s="572"/>
      <c r="U193" s="607"/>
      <c r="V193" s="607"/>
      <c r="W193" s="607"/>
      <c r="X193" s="607"/>
      <c r="Y193" s="585"/>
      <c r="Z193" s="585"/>
    </row>
    <row r="194" spans="1:26">
      <c r="A194" s="592"/>
      <c r="B194" s="592"/>
      <c r="C194" s="593">
        <v>185</v>
      </c>
      <c r="D194" s="594"/>
      <c r="E194" s="595" t="s">
        <v>660</v>
      </c>
      <c r="F194" s="620">
        <f>SUM(F185:F193)</f>
        <v>896577.65999999992</v>
      </c>
      <c r="G194" s="620">
        <f t="shared" ref="G194:S194" si="31">SUM(G185:G193)</f>
        <v>25450.639999999999</v>
      </c>
      <c r="H194" s="620">
        <f t="shared" si="31"/>
        <v>65901.39</v>
      </c>
      <c r="I194" s="620">
        <f t="shared" si="31"/>
        <v>97549.37</v>
      </c>
      <c r="J194" s="620">
        <f t="shared" si="31"/>
        <v>123391.70999999999</v>
      </c>
      <c r="K194" s="620">
        <f t="shared" si="31"/>
        <v>132242.46</v>
      </c>
      <c r="L194" s="620">
        <f t="shared" si="31"/>
        <v>148767.37000000002</v>
      </c>
      <c r="M194" s="620">
        <f t="shared" si="31"/>
        <v>185519.98</v>
      </c>
      <c r="N194" s="620">
        <f t="shared" si="31"/>
        <v>226429.94</v>
      </c>
      <c r="O194" s="620">
        <f t="shared" si="31"/>
        <v>545769.02</v>
      </c>
      <c r="P194" s="620">
        <f t="shared" si="31"/>
        <v>1321378.3300000003</v>
      </c>
      <c r="Q194" s="620">
        <f t="shared" si="31"/>
        <v>1342774.2300000002</v>
      </c>
      <c r="R194" s="620">
        <f t="shared" si="31"/>
        <v>1366456.7</v>
      </c>
      <c r="S194" s="620">
        <f t="shared" si="31"/>
        <v>445557.63500000001</v>
      </c>
      <c r="T194" s="572"/>
      <c r="U194" s="608">
        <f>S194</f>
        <v>445557.63500000001</v>
      </c>
      <c r="V194" s="607"/>
      <c r="W194" s="607"/>
      <c r="X194" s="608"/>
      <c r="Y194" s="585"/>
      <c r="Z194" s="585"/>
    </row>
    <row r="195" spans="1:26">
      <c r="A195" s="592"/>
      <c r="B195" s="592"/>
      <c r="C195" s="593">
        <v>186</v>
      </c>
      <c r="D195" s="594"/>
      <c r="E195" s="595"/>
      <c r="F195" s="596"/>
      <c r="G195" s="678"/>
      <c r="H195" s="598"/>
      <c r="I195" s="598"/>
      <c r="J195" s="599"/>
      <c r="K195" s="600"/>
      <c r="L195" s="601"/>
      <c r="M195" s="602"/>
      <c r="N195" s="603"/>
      <c r="O195" s="604"/>
      <c r="P195" s="605"/>
      <c r="Q195" s="679"/>
      <c r="R195" s="596"/>
      <c r="S195" s="598">
        <f t="shared" si="23"/>
        <v>0</v>
      </c>
      <c r="T195" s="572"/>
      <c r="U195" s="607"/>
      <c r="V195" s="607"/>
      <c r="W195" s="607"/>
      <c r="X195" s="607"/>
      <c r="Y195" s="585"/>
      <c r="Z195" s="585"/>
    </row>
    <row r="196" spans="1:26">
      <c r="A196" s="592" t="s">
        <v>661</v>
      </c>
      <c r="B196" s="592" t="s">
        <v>398</v>
      </c>
      <c r="C196" s="593">
        <v>187</v>
      </c>
      <c r="D196" s="594" t="str">
        <f>+A196</f>
        <v>4380</v>
      </c>
      <c r="E196" s="595" t="s">
        <v>662</v>
      </c>
      <c r="F196" s="596">
        <v>16640000</v>
      </c>
      <c r="G196" s="678">
        <v>0</v>
      </c>
      <c r="H196" s="598">
        <v>4160000</v>
      </c>
      <c r="I196" s="598">
        <v>4160000</v>
      </c>
      <c r="J196" s="599">
        <v>4160000</v>
      </c>
      <c r="K196" s="600">
        <v>8320000</v>
      </c>
      <c r="L196" s="601">
        <v>8320000</v>
      </c>
      <c r="M196" s="602">
        <v>8320000</v>
      </c>
      <c r="N196" s="603">
        <v>12480000</v>
      </c>
      <c r="O196" s="604">
        <v>12480000</v>
      </c>
      <c r="P196" s="605">
        <v>12480000</v>
      </c>
      <c r="Q196" s="679">
        <v>16640000</v>
      </c>
      <c r="R196" s="596">
        <v>16640000</v>
      </c>
      <c r="S196" s="598">
        <f t="shared" si="23"/>
        <v>9013333.333333334</v>
      </c>
      <c r="T196" s="572"/>
      <c r="U196" s="607"/>
      <c r="V196" s="607"/>
      <c r="W196" s="607"/>
      <c r="X196" s="607"/>
      <c r="Y196" s="585"/>
      <c r="Z196" s="585"/>
    </row>
    <row r="197" spans="1:26">
      <c r="A197" s="592"/>
      <c r="B197" s="592"/>
      <c r="C197" s="593">
        <v>188</v>
      </c>
      <c r="D197" s="697"/>
      <c r="E197" s="595" t="s">
        <v>663</v>
      </c>
      <c r="F197" s="620">
        <f>+F196</f>
        <v>16640000</v>
      </c>
      <c r="G197" s="620">
        <f t="shared" ref="G197:S197" si="32">+G196</f>
        <v>0</v>
      </c>
      <c r="H197" s="620">
        <f t="shared" si="32"/>
        <v>4160000</v>
      </c>
      <c r="I197" s="620">
        <f t="shared" si="32"/>
        <v>4160000</v>
      </c>
      <c r="J197" s="620">
        <f t="shared" si="32"/>
        <v>4160000</v>
      </c>
      <c r="K197" s="620">
        <f t="shared" si="32"/>
        <v>8320000</v>
      </c>
      <c r="L197" s="620">
        <f t="shared" si="32"/>
        <v>8320000</v>
      </c>
      <c r="M197" s="620">
        <f t="shared" si="32"/>
        <v>8320000</v>
      </c>
      <c r="N197" s="620">
        <f t="shared" si="32"/>
        <v>12480000</v>
      </c>
      <c r="O197" s="620">
        <f t="shared" si="32"/>
        <v>12480000</v>
      </c>
      <c r="P197" s="620">
        <f t="shared" si="32"/>
        <v>12480000</v>
      </c>
      <c r="Q197" s="620">
        <f t="shared" si="32"/>
        <v>16640000</v>
      </c>
      <c r="R197" s="620">
        <f t="shared" si="32"/>
        <v>16640000</v>
      </c>
      <c r="S197" s="620">
        <f t="shared" si="32"/>
        <v>9013333.333333334</v>
      </c>
      <c r="T197" s="572"/>
      <c r="U197" s="608">
        <f>S197</f>
        <v>9013333.333333334</v>
      </c>
      <c r="V197" s="607"/>
      <c r="W197" s="607"/>
      <c r="X197" s="608"/>
      <c r="Y197" s="585"/>
      <c r="Z197" s="585"/>
    </row>
    <row r="198" spans="1:26">
      <c r="A198" s="592"/>
      <c r="B198" s="592"/>
      <c r="C198" s="593">
        <v>189</v>
      </c>
      <c r="D198" s="594"/>
      <c r="E198" s="595"/>
      <c r="F198" s="609"/>
      <c r="G198" s="681"/>
      <c r="H198" s="611"/>
      <c r="I198" s="611"/>
      <c r="J198" s="612"/>
      <c r="K198" s="613"/>
      <c r="L198" s="614"/>
      <c r="M198" s="615"/>
      <c r="N198" s="616"/>
      <c r="O198" s="617"/>
      <c r="P198" s="618"/>
      <c r="Q198" s="682"/>
      <c r="R198" s="609"/>
      <c r="S198" s="598">
        <f t="shared" si="23"/>
        <v>0</v>
      </c>
      <c r="T198" s="572"/>
      <c r="U198" s="607"/>
      <c r="V198" s="607"/>
      <c r="W198" s="607"/>
      <c r="X198" s="607"/>
      <c r="Y198" s="585"/>
      <c r="Z198" s="585"/>
    </row>
    <row r="199" spans="1:26" ht="16.5" thickBot="1">
      <c r="A199" s="592"/>
      <c r="B199" s="592"/>
      <c r="C199" s="593">
        <v>190</v>
      </c>
      <c r="D199" s="594"/>
      <c r="E199" s="595" t="s">
        <v>664</v>
      </c>
      <c r="F199" s="698">
        <f>+F197+F194+F182+F173+F164+F159+F155+F153+F147+F132+F124+F109+F107+F106+F104+F100+F90+F81+F49+F39+F33+F29+F45</f>
        <v>957808188.95999992</v>
      </c>
      <c r="G199" s="698">
        <f t="shared" ref="G199:S199" si="33">+G197+G194+G182+G173+G164+G159+G155+G153+G147+G132+G124+G109+G107+G106+G104+G100+G90+G81+G49+G39+G33+G29+G45</f>
        <v>702758578.59000003</v>
      </c>
      <c r="H199" s="698">
        <f t="shared" si="33"/>
        <v>735000254.91000009</v>
      </c>
      <c r="I199" s="698">
        <f t="shared" si="33"/>
        <v>765442960.05999994</v>
      </c>
      <c r="J199" s="698">
        <f t="shared" si="33"/>
        <v>772363559.80999994</v>
      </c>
      <c r="K199" s="698">
        <f t="shared" si="33"/>
        <v>787640044.00999975</v>
      </c>
      <c r="L199" s="698">
        <f t="shared" si="33"/>
        <v>797992253.00999999</v>
      </c>
      <c r="M199" s="698">
        <f t="shared" si="33"/>
        <v>804112169.54999995</v>
      </c>
      <c r="N199" s="698">
        <f t="shared" si="33"/>
        <v>813852966.13999999</v>
      </c>
      <c r="O199" s="698">
        <f t="shared" si="33"/>
        <v>825107690.84000003</v>
      </c>
      <c r="P199" s="698">
        <f t="shared" si="33"/>
        <v>852872870.34000003</v>
      </c>
      <c r="Q199" s="698">
        <f t="shared" si="33"/>
        <v>886611525.82000017</v>
      </c>
      <c r="R199" s="698">
        <f t="shared" si="33"/>
        <v>945811407.76999998</v>
      </c>
      <c r="S199" s="698">
        <f t="shared" si="33"/>
        <v>807963722.62041652</v>
      </c>
      <c r="T199" s="572"/>
      <c r="U199" s="607"/>
      <c r="V199" s="607"/>
      <c r="W199" s="607"/>
      <c r="X199" s="607"/>
      <c r="Y199" s="585"/>
      <c r="Z199" s="585"/>
    </row>
    <row r="200" spans="1:26" ht="16.5" thickTop="1">
      <c r="A200" s="592"/>
      <c r="B200" s="592"/>
      <c r="C200" s="593">
        <v>191</v>
      </c>
      <c r="D200" s="594"/>
      <c r="E200" s="595"/>
      <c r="F200" s="596"/>
      <c r="G200" s="678"/>
      <c r="H200" s="598"/>
      <c r="I200" s="598"/>
      <c r="J200" s="599"/>
      <c r="K200" s="600"/>
      <c r="L200" s="601"/>
      <c r="M200" s="602"/>
      <c r="N200" s="603"/>
      <c r="O200" s="604"/>
      <c r="P200" s="605"/>
      <c r="Q200" s="679"/>
      <c r="R200" s="596"/>
      <c r="S200" s="598">
        <f t="shared" si="23"/>
        <v>0</v>
      </c>
      <c r="T200" s="572"/>
      <c r="U200" s="607"/>
      <c r="V200" s="607"/>
      <c r="W200" s="607"/>
      <c r="X200" s="607"/>
      <c r="Y200" s="585"/>
      <c r="Z200" s="585"/>
    </row>
    <row r="201" spans="1:26">
      <c r="A201" s="592"/>
      <c r="B201" s="592"/>
      <c r="C201" s="593">
        <v>192</v>
      </c>
      <c r="D201" s="594"/>
      <c r="E201" s="595"/>
      <c r="F201" s="596"/>
      <c r="G201" s="678"/>
      <c r="H201" s="598"/>
      <c r="I201" s="598"/>
      <c r="J201" s="599"/>
      <c r="K201" s="600"/>
      <c r="L201" s="601"/>
      <c r="M201" s="602"/>
      <c r="N201" s="603"/>
      <c r="O201" s="604"/>
      <c r="P201" s="605"/>
      <c r="Q201" s="679"/>
      <c r="R201" s="596"/>
      <c r="S201" s="598">
        <f t="shared" si="23"/>
        <v>0</v>
      </c>
      <c r="T201" s="572"/>
      <c r="U201" s="607"/>
      <c r="V201" s="607"/>
      <c r="W201" s="607"/>
      <c r="X201" s="607"/>
      <c r="Y201" s="585"/>
      <c r="Z201" s="585"/>
    </row>
    <row r="202" spans="1:26">
      <c r="A202" s="592" t="s">
        <v>665</v>
      </c>
      <c r="B202" s="592" t="s">
        <v>398</v>
      </c>
      <c r="C202" s="593">
        <v>193</v>
      </c>
      <c r="D202" s="592" t="str">
        <f>+A202</f>
        <v>2010</v>
      </c>
      <c r="E202" s="650" t="s">
        <v>666</v>
      </c>
      <c r="F202" s="596">
        <v>-1000</v>
      </c>
      <c r="G202" s="678">
        <v>-1000</v>
      </c>
      <c r="H202" s="598">
        <v>-1000</v>
      </c>
      <c r="I202" s="598">
        <v>-1000</v>
      </c>
      <c r="J202" s="599">
        <v>-1000</v>
      </c>
      <c r="K202" s="600">
        <v>-1000</v>
      </c>
      <c r="L202" s="601">
        <v>-1000</v>
      </c>
      <c r="M202" s="602">
        <v>-1000</v>
      </c>
      <c r="N202" s="603">
        <v>-1000</v>
      </c>
      <c r="O202" s="604">
        <v>-1000</v>
      </c>
      <c r="P202" s="605">
        <v>-1000</v>
      </c>
      <c r="Q202" s="679">
        <v>-1000</v>
      </c>
      <c r="R202" s="596">
        <v>-1000</v>
      </c>
      <c r="S202" s="598">
        <f t="shared" si="23"/>
        <v>-1000</v>
      </c>
      <c r="T202" s="572"/>
      <c r="U202" s="607"/>
      <c r="V202" s="607"/>
      <c r="W202" s="607"/>
      <c r="X202" s="607"/>
      <c r="Y202" s="585"/>
      <c r="Z202" s="585"/>
    </row>
    <row r="203" spans="1:26">
      <c r="A203" s="592" t="s">
        <v>667</v>
      </c>
      <c r="B203" s="592" t="s">
        <v>615</v>
      </c>
      <c r="C203" s="593">
        <v>194</v>
      </c>
      <c r="D203" s="594" t="str">
        <f>A203&amp;"."&amp;B203</f>
        <v>2160.1</v>
      </c>
      <c r="E203" s="650" t="s">
        <v>668</v>
      </c>
      <c r="F203" s="596">
        <v>-44676389.859999999</v>
      </c>
      <c r="G203" s="678">
        <v>-40209183.609999999</v>
      </c>
      <c r="H203" s="598">
        <v>-40209183.609999999</v>
      </c>
      <c r="I203" s="598">
        <v>-40209183.609999999</v>
      </c>
      <c r="J203" s="599">
        <v>-40205542.240000002</v>
      </c>
      <c r="K203" s="600">
        <v>-40205542.240000002</v>
      </c>
      <c r="L203" s="601">
        <v>-40205542.240000002</v>
      </c>
      <c r="M203" s="602">
        <v>-40205542.240000002</v>
      </c>
      <c r="N203" s="603">
        <v>-40205542.240000002</v>
      </c>
      <c r="O203" s="604">
        <v>-40205542.240000002</v>
      </c>
      <c r="P203" s="605">
        <v>-40205542.240000002</v>
      </c>
      <c r="Q203" s="679">
        <v>-40205542.240000002</v>
      </c>
      <c r="R203" s="596">
        <v>-40205542.240000002</v>
      </c>
      <c r="S203" s="598">
        <f t="shared" si="23"/>
        <v>-40392737.900000006</v>
      </c>
      <c r="T203" s="572"/>
      <c r="U203" s="607"/>
      <c r="V203" s="575"/>
      <c r="W203" s="575"/>
      <c r="X203" s="575"/>
      <c r="Y203" s="585"/>
      <c r="Z203" s="585"/>
    </row>
    <row r="204" spans="1:26">
      <c r="A204" s="592" t="s">
        <v>667</v>
      </c>
      <c r="B204" s="592" t="s">
        <v>669</v>
      </c>
      <c r="C204" s="593">
        <v>195</v>
      </c>
      <c r="D204" s="594" t="str">
        <f>A204&amp;"."&amp;B204</f>
        <v>2160.2</v>
      </c>
      <c r="E204" s="650" t="s">
        <v>670</v>
      </c>
      <c r="F204" s="596">
        <v>3641.37</v>
      </c>
      <c r="G204" s="678">
        <v>3641.37</v>
      </c>
      <c r="H204" s="598">
        <v>3641.37</v>
      </c>
      <c r="I204" s="598">
        <v>3641.37</v>
      </c>
      <c r="J204" s="599">
        <v>0</v>
      </c>
      <c r="K204" s="600">
        <v>0</v>
      </c>
      <c r="L204" s="601">
        <v>0</v>
      </c>
      <c r="M204" s="602">
        <v>0</v>
      </c>
      <c r="N204" s="603">
        <v>0</v>
      </c>
      <c r="O204" s="604">
        <v>0</v>
      </c>
      <c r="P204" s="605">
        <v>0</v>
      </c>
      <c r="Q204" s="679">
        <v>0</v>
      </c>
      <c r="R204" s="596">
        <v>0</v>
      </c>
      <c r="S204" s="598">
        <f t="shared" ref="S204:S267" si="34">((F204+R204)+((G204+H204+I204+J204+K204+L204+M204+N204+O204+P204+Q204)*2))/24</f>
        <v>1062.0662500000001</v>
      </c>
      <c r="T204" s="572"/>
      <c r="U204" s="607"/>
      <c r="V204" s="575"/>
      <c r="W204" s="575"/>
      <c r="X204" s="575"/>
      <c r="Y204" s="585"/>
      <c r="Z204" s="585"/>
    </row>
    <row r="205" spans="1:26">
      <c r="A205" s="592" t="s">
        <v>667</v>
      </c>
      <c r="B205" s="592" t="s">
        <v>671</v>
      </c>
      <c r="C205" s="593">
        <v>196</v>
      </c>
      <c r="D205" s="594" t="str">
        <f>A205&amp;"."&amp;B205</f>
        <v>2160.3</v>
      </c>
      <c r="E205" s="650" t="s">
        <v>672</v>
      </c>
      <c r="F205" s="596">
        <v>7513</v>
      </c>
      <c r="G205" s="678">
        <v>2245</v>
      </c>
      <c r="H205" s="598">
        <v>4490</v>
      </c>
      <c r="I205" s="598">
        <v>6170</v>
      </c>
      <c r="J205" s="599">
        <v>7850</v>
      </c>
      <c r="K205" s="600">
        <v>9530</v>
      </c>
      <c r="L205" s="601">
        <v>11210</v>
      </c>
      <c r="M205" s="602">
        <v>12828</v>
      </c>
      <c r="N205" s="603">
        <v>14446</v>
      </c>
      <c r="O205" s="604">
        <v>16064</v>
      </c>
      <c r="P205" s="605">
        <v>17682</v>
      </c>
      <c r="Q205" s="679">
        <v>19300</v>
      </c>
      <c r="R205" s="596">
        <v>15598</v>
      </c>
      <c r="S205" s="598">
        <f t="shared" si="34"/>
        <v>11114.208333333334</v>
      </c>
      <c r="T205" s="572"/>
      <c r="U205" s="607"/>
      <c r="V205" s="575"/>
      <c r="W205" s="575"/>
      <c r="X205" s="575"/>
      <c r="Y205" s="585"/>
      <c r="Z205" s="585"/>
    </row>
    <row r="206" spans="1:26">
      <c r="A206" s="592" t="s">
        <v>673</v>
      </c>
      <c r="B206" s="592" t="s">
        <v>615</v>
      </c>
      <c r="C206" s="593">
        <v>197</v>
      </c>
      <c r="D206" s="594" t="str">
        <f>A206&amp;"."&amp;B206</f>
        <v>2161.1</v>
      </c>
      <c r="E206" s="650" t="s">
        <v>674</v>
      </c>
      <c r="F206" s="596">
        <v>2000629.64</v>
      </c>
      <c r="G206" s="678">
        <v>2000629.64</v>
      </c>
      <c r="H206" s="598">
        <v>2000629.64</v>
      </c>
      <c r="I206" s="598">
        <v>2000629.64</v>
      </c>
      <c r="J206" s="599">
        <v>2000629.64</v>
      </c>
      <c r="K206" s="600">
        <v>2000629.64</v>
      </c>
      <c r="L206" s="601">
        <v>2000629.64</v>
      </c>
      <c r="M206" s="602">
        <v>2000629.64</v>
      </c>
      <c r="N206" s="603">
        <v>2000629.64</v>
      </c>
      <c r="O206" s="604">
        <v>2000629.64</v>
      </c>
      <c r="P206" s="605">
        <v>2000629.64</v>
      </c>
      <c r="Q206" s="679">
        <v>2000629.64</v>
      </c>
      <c r="R206" s="596">
        <v>2000629.64</v>
      </c>
      <c r="S206" s="598">
        <f t="shared" si="34"/>
        <v>2000629.6400000004</v>
      </c>
      <c r="T206" s="572"/>
      <c r="U206" s="607"/>
      <c r="V206" s="575"/>
      <c r="W206" s="575"/>
      <c r="X206" s="575"/>
      <c r="Y206" s="585"/>
      <c r="Z206" s="585"/>
    </row>
    <row r="207" spans="1:26">
      <c r="A207" s="592" t="s">
        <v>675</v>
      </c>
      <c r="B207" s="592" t="s">
        <v>398</v>
      </c>
      <c r="C207" s="593">
        <v>198</v>
      </c>
      <c r="D207" s="594" t="str">
        <f>+A207</f>
        <v>2071</v>
      </c>
      <c r="E207" s="650" t="s">
        <v>676</v>
      </c>
      <c r="F207" s="596">
        <v>-152703952.19</v>
      </c>
      <c r="G207" s="678">
        <v>-152703952.19</v>
      </c>
      <c r="H207" s="598">
        <v>-152703952.19</v>
      </c>
      <c r="I207" s="598">
        <v>-152698667.75</v>
      </c>
      <c r="J207" s="599">
        <v>-152698667.75</v>
      </c>
      <c r="K207" s="600">
        <v>-152698667.75</v>
      </c>
      <c r="L207" s="601">
        <v>-152698667.75</v>
      </c>
      <c r="M207" s="602">
        <v>-152698667.75</v>
      </c>
      <c r="N207" s="603">
        <v>-152698667.75</v>
      </c>
      <c r="O207" s="604">
        <v>-152698667.75</v>
      </c>
      <c r="P207" s="605">
        <v>-160698667.75</v>
      </c>
      <c r="Q207" s="679">
        <v>-160698667.75</v>
      </c>
      <c r="R207" s="596">
        <v>-160698667.75</v>
      </c>
      <c r="S207" s="598">
        <f t="shared" si="34"/>
        <v>-154366435.34166667</v>
      </c>
      <c r="T207" s="572"/>
      <c r="U207" s="607"/>
      <c r="V207" s="575"/>
      <c r="W207" s="575"/>
      <c r="X207" s="575"/>
      <c r="Y207" s="585"/>
      <c r="Z207" s="585"/>
    </row>
    <row r="208" spans="1:26">
      <c r="A208" s="592" t="s">
        <v>677</v>
      </c>
      <c r="B208" s="592" t="s">
        <v>398</v>
      </c>
      <c r="C208" s="593">
        <v>199</v>
      </c>
      <c r="D208" s="592" t="str">
        <f>+A208</f>
        <v>2100</v>
      </c>
      <c r="E208" s="650" t="s">
        <v>678</v>
      </c>
      <c r="F208" s="596">
        <v>0</v>
      </c>
      <c r="G208" s="678">
        <v>0</v>
      </c>
      <c r="H208" s="598">
        <v>0</v>
      </c>
      <c r="I208" s="598">
        <v>0</v>
      </c>
      <c r="J208" s="599">
        <v>0</v>
      </c>
      <c r="K208" s="600">
        <v>0</v>
      </c>
      <c r="L208" s="601">
        <v>0</v>
      </c>
      <c r="M208" s="602">
        <v>0</v>
      </c>
      <c r="N208" s="603">
        <v>0</v>
      </c>
      <c r="O208" s="604">
        <v>0</v>
      </c>
      <c r="P208" s="605">
        <v>0</v>
      </c>
      <c r="Q208" s="679">
        <v>0</v>
      </c>
      <c r="R208" s="596">
        <v>0</v>
      </c>
      <c r="S208" s="598">
        <f t="shared" si="34"/>
        <v>0</v>
      </c>
      <c r="T208" s="572"/>
      <c r="U208" s="607"/>
      <c r="V208" s="575"/>
      <c r="W208" s="575"/>
      <c r="X208" s="575"/>
      <c r="Y208" s="585"/>
      <c r="Z208" s="585"/>
    </row>
    <row r="209" spans="1:26">
      <c r="A209" s="592" t="s">
        <v>679</v>
      </c>
      <c r="B209" s="592" t="s">
        <v>398</v>
      </c>
      <c r="C209" s="593">
        <v>200</v>
      </c>
      <c r="D209" s="592" t="str">
        <f>+A209</f>
        <v>2110</v>
      </c>
      <c r="E209" s="650" t="s">
        <v>680</v>
      </c>
      <c r="F209" s="596">
        <v>0</v>
      </c>
      <c r="G209" s="678">
        <v>0</v>
      </c>
      <c r="H209" s="598">
        <v>0</v>
      </c>
      <c r="I209" s="598">
        <v>0</v>
      </c>
      <c r="J209" s="599">
        <v>0</v>
      </c>
      <c r="K209" s="600">
        <v>0</v>
      </c>
      <c r="L209" s="601">
        <v>0</v>
      </c>
      <c r="M209" s="602">
        <v>0</v>
      </c>
      <c r="N209" s="603">
        <v>0</v>
      </c>
      <c r="O209" s="604">
        <v>0</v>
      </c>
      <c r="P209" s="605">
        <v>0</v>
      </c>
      <c r="Q209" s="679">
        <v>0</v>
      </c>
      <c r="R209" s="596">
        <v>0</v>
      </c>
      <c r="S209" s="598">
        <f t="shared" si="34"/>
        <v>0</v>
      </c>
      <c r="T209" s="572"/>
      <c r="U209" s="607"/>
      <c r="V209" s="575"/>
      <c r="W209" s="575"/>
      <c r="X209" s="575"/>
      <c r="Y209" s="585"/>
      <c r="Z209" s="585"/>
    </row>
    <row r="210" spans="1:26">
      <c r="A210" s="592" t="s">
        <v>681</v>
      </c>
      <c r="B210" s="592" t="s">
        <v>398</v>
      </c>
      <c r="C210" s="593">
        <v>201</v>
      </c>
      <c r="D210" s="594" t="str">
        <f>+A210</f>
        <v>2190</v>
      </c>
      <c r="E210" s="650" t="s">
        <v>682</v>
      </c>
      <c r="F210" s="596">
        <v>0</v>
      </c>
      <c r="G210" s="678">
        <v>0</v>
      </c>
      <c r="H210" s="598">
        <v>0</v>
      </c>
      <c r="I210" s="598">
        <v>0</v>
      </c>
      <c r="J210" s="599">
        <v>0</v>
      </c>
      <c r="K210" s="600">
        <v>0</v>
      </c>
      <c r="L210" s="601">
        <v>0</v>
      </c>
      <c r="M210" s="602">
        <v>0</v>
      </c>
      <c r="N210" s="603">
        <v>0</v>
      </c>
      <c r="O210" s="604">
        <v>0</v>
      </c>
      <c r="P210" s="605">
        <v>0</v>
      </c>
      <c r="Q210" s="679">
        <v>0</v>
      </c>
      <c r="R210" s="596">
        <v>0</v>
      </c>
      <c r="S210" s="598">
        <f t="shared" si="34"/>
        <v>0</v>
      </c>
      <c r="T210" s="572"/>
      <c r="U210" s="607"/>
      <c r="V210" s="575"/>
      <c r="W210" s="575"/>
      <c r="X210" s="575"/>
      <c r="Y210" s="585"/>
      <c r="Z210" s="585"/>
    </row>
    <row r="211" spans="1:26">
      <c r="A211" s="592" t="s">
        <v>683</v>
      </c>
      <c r="B211" s="592" t="s">
        <v>398</v>
      </c>
      <c r="C211" s="593">
        <v>202</v>
      </c>
      <c r="D211" s="594" t="str">
        <f>+A211</f>
        <v>2141</v>
      </c>
      <c r="E211" s="650" t="s">
        <v>684</v>
      </c>
      <c r="F211" s="596">
        <v>0</v>
      </c>
      <c r="G211" s="678">
        <v>0</v>
      </c>
      <c r="H211" s="598">
        <v>0</v>
      </c>
      <c r="I211" s="598">
        <v>0</v>
      </c>
      <c r="J211" s="599">
        <v>0</v>
      </c>
      <c r="K211" s="600">
        <v>0</v>
      </c>
      <c r="L211" s="601">
        <v>0</v>
      </c>
      <c r="M211" s="602">
        <v>0</v>
      </c>
      <c r="N211" s="603">
        <v>0</v>
      </c>
      <c r="O211" s="604">
        <v>0</v>
      </c>
      <c r="P211" s="605">
        <v>0</v>
      </c>
      <c r="Q211" s="679">
        <v>0</v>
      </c>
      <c r="R211" s="596">
        <v>0</v>
      </c>
      <c r="S211" s="598">
        <f t="shared" si="34"/>
        <v>0</v>
      </c>
      <c r="T211" s="572"/>
      <c r="U211" s="607"/>
      <c r="V211" s="575"/>
      <c r="W211" s="575"/>
      <c r="X211" s="575"/>
      <c r="Y211" s="585"/>
      <c r="Z211" s="585"/>
    </row>
    <row r="212" spans="1:26">
      <c r="A212" s="592"/>
      <c r="B212" s="592"/>
      <c r="C212" s="593">
        <v>203</v>
      </c>
      <c r="D212" s="594"/>
      <c r="E212" s="650"/>
      <c r="F212" s="596"/>
      <c r="G212" s="678"/>
      <c r="H212" s="598"/>
      <c r="I212" s="598"/>
      <c r="J212" s="599"/>
      <c r="K212" s="600"/>
      <c r="L212" s="601"/>
      <c r="M212" s="602"/>
      <c r="N212" s="603"/>
      <c r="O212" s="604"/>
      <c r="P212" s="605"/>
      <c r="Q212" s="679"/>
      <c r="R212" s="596"/>
      <c r="S212" s="598">
        <f t="shared" si="34"/>
        <v>0</v>
      </c>
      <c r="T212" s="572"/>
      <c r="U212" s="607"/>
      <c r="V212" s="575"/>
      <c r="W212" s="575"/>
      <c r="X212" s="575"/>
      <c r="Y212" s="585"/>
      <c r="Z212" s="585"/>
    </row>
    <row r="213" spans="1:26">
      <c r="A213" s="592"/>
      <c r="B213" s="592"/>
      <c r="C213" s="593">
        <v>204</v>
      </c>
      <c r="D213" s="594"/>
      <c r="E213" s="650" t="s">
        <v>685</v>
      </c>
      <c r="F213" s="620">
        <f>SUM(F202:F211)</f>
        <v>-195369558.03999999</v>
      </c>
      <c r="G213" s="620">
        <f t="shared" ref="G213:S213" si="35">SUM(G202:G211)</f>
        <v>-190907619.78999999</v>
      </c>
      <c r="H213" s="620">
        <f t="shared" si="35"/>
        <v>-190905374.78999999</v>
      </c>
      <c r="I213" s="620">
        <f t="shared" si="35"/>
        <v>-190898410.34999999</v>
      </c>
      <c r="J213" s="620">
        <f t="shared" si="35"/>
        <v>-190896730.34999999</v>
      </c>
      <c r="K213" s="620">
        <f t="shared" si="35"/>
        <v>-190895050.34999999</v>
      </c>
      <c r="L213" s="620">
        <f t="shared" si="35"/>
        <v>-190893370.34999999</v>
      </c>
      <c r="M213" s="620">
        <f t="shared" si="35"/>
        <v>-190891752.34999999</v>
      </c>
      <c r="N213" s="620">
        <f t="shared" si="35"/>
        <v>-190890134.34999999</v>
      </c>
      <c r="O213" s="620">
        <f t="shared" si="35"/>
        <v>-190888516.34999999</v>
      </c>
      <c r="P213" s="620">
        <f t="shared" si="35"/>
        <v>-198886898.34999999</v>
      </c>
      <c r="Q213" s="620">
        <f t="shared" si="35"/>
        <v>-198885280.34999999</v>
      </c>
      <c r="R213" s="620">
        <f t="shared" si="35"/>
        <v>-198888982.34999999</v>
      </c>
      <c r="S213" s="620">
        <f t="shared" si="35"/>
        <v>-192747367.32708335</v>
      </c>
      <c r="T213" s="572"/>
      <c r="U213" s="608">
        <f>S213</f>
        <v>-192747367.32708335</v>
      </c>
      <c r="V213" s="575"/>
      <c r="W213" s="575"/>
      <c r="X213" s="575"/>
      <c r="Y213" s="585"/>
      <c r="Z213" s="585"/>
    </row>
    <row r="214" spans="1:26">
      <c r="A214" s="592"/>
      <c r="B214" s="592"/>
      <c r="C214" s="593">
        <v>205</v>
      </c>
      <c r="D214" s="594"/>
      <c r="E214" s="650"/>
      <c r="F214" s="625"/>
      <c r="G214" s="689"/>
      <c r="H214" s="627"/>
      <c r="I214" s="627"/>
      <c r="J214" s="628"/>
      <c r="K214" s="629"/>
      <c r="L214" s="630"/>
      <c r="M214" s="631"/>
      <c r="N214" s="632"/>
      <c r="O214" s="633"/>
      <c r="P214" s="634"/>
      <c r="Q214" s="684"/>
      <c r="R214" s="625"/>
      <c r="S214" s="598">
        <f t="shared" si="34"/>
        <v>0</v>
      </c>
      <c r="T214" s="572"/>
      <c r="U214" s="607"/>
      <c r="V214" s="575"/>
      <c r="W214" s="575"/>
      <c r="X214" s="575"/>
      <c r="Y214" s="585"/>
      <c r="Z214" s="585"/>
    </row>
    <row r="215" spans="1:26">
      <c r="A215" s="592" t="s">
        <v>686</v>
      </c>
      <c r="B215" s="592" t="s">
        <v>529</v>
      </c>
      <c r="C215" s="593">
        <v>206</v>
      </c>
      <c r="D215" s="594" t="str">
        <f t="shared" ref="D215:D233" si="36">A215&amp;"."&amp;B215</f>
        <v>2240.12</v>
      </c>
      <c r="E215" s="699" t="s">
        <v>687</v>
      </c>
      <c r="F215" s="596">
        <v>-20000000</v>
      </c>
      <c r="G215" s="678">
        <v>-20000000</v>
      </c>
      <c r="H215" s="598">
        <v>-20000000</v>
      </c>
      <c r="I215" s="598">
        <v>-20000000</v>
      </c>
      <c r="J215" s="599">
        <v>-20000000</v>
      </c>
      <c r="K215" s="600">
        <v>-20000000</v>
      </c>
      <c r="L215" s="601">
        <v>-20000000</v>
      </c>
      <c r="M215" s="602">
        <v>-20000000</v>
      </c>
      <c r="N215" s="603">
        <v>-20000000</v>
      </c>
      <c r="O215" s="604">
        <v>-20000000</v>
      </c>
      <c r="P215" s="605">
        <v>-20000000</v>
      </c>
      <c r="Q215" s="679">
        <v>-20000000</v>
      </c>
      <c r="R215" s="596">
        <v>-20000000</v>
      </c>
      <c r="S215" s="598">
        <f t="shared" si="34"/>
        <v>-20000000</v>
      </c>
      <c r="T215" s="572"/>
      <c r="U215" s="607"/>
      <c r="V215" s="575"/>
      <c r="W215" s="575"/>
      <c r="X215" s="575"/>
      <c r="Y215" s="585"/>
      <c r="Z215" s="585"/>
    </row>
    <row r="216" spans="1:26">
      <c r="A216" s="592" t="s">
        <v>686</v>
      </c>
      <c r="B216" s="592" t="s">
        <v>531</v>
      </c>
      <c r="C216" s="593">
        <v>207</v>
      </c>
      <c r="D216" s="594" t="str">
        <f t="shared" si="36"/>
        <v>2240.13</v>
      </c>
      <c r="E216" s="699" t="s">
        <v>688</v>
      </c>
      <c r="F216" s="596">
        <v>-15000000</v>
      </c>
      <c r="G216" s="678">
        <v>-15000000</v>
      </c>
      <c r="H216" s="598">
        <v>-15000000</v>
      </c>
      <c r="I216" s="598">
        <v>-15000000</v>
      </c>
      <c r="J216" s="599">
        <v>-15000000</v>
      </c>
      <c r="K216" s="600">
        <v>-15000000</v>
      </c>
      <c r="L216" s="601">
        <v>-15000000</v>
      </c>
      <c r="M216" s="602">
        <v>-15000000</v>
      </c>
      <c r="N216" s="603">
        <v>-15000000</v>
      </c>
      <c r="O216" s="604">
        <v>-15000000</v>
      </c>
      <c r="P216" s="605">
        <v>-15000000</v>
      </c>
      <c r="Q216" s="679">
        <v>-15000000</v>
      </c>
      <c r="R216" s="596">
        <v>-15000000</v>
      </c>
      <c r="S216" s="598">
        <f t="shared" si="34"/>
        <v>-15000000</v>
      </c>
      <c r="T216" s="572"/>
      <c r="U216" s="607"/>
      <c r="V216" s="575"/>
      <c r="W216" s="575"/>
      <c r="X216" s="575"/>
      <c r="Y216" s="585"/>
      <c r="Z216" s="585"/>
    </row>
    <row r="217" spans="1:26" ht="31.5">
      <c r="A217" s="592" t="s">
        <v>686</v>
      </c>
      <c r="B217" s="592" t="s">
        <v>533</v>
      </c>
      <c r="C217" s="593">
        <v>208</v>
      </c>
      <c r="D217" s="594" t="str">
        <f t="shared" si="36"/>
        <v>2240.17</v>
      </c>
      <c r="E217" s="699" t="s">
        <v>689</v>
      </c>
      <c r="F217" s="596">
        <v>-24589000</v>
      </c>
      <c r="G217" s="678">
        <v>-24589000</v>
      </c>
      <c r="H217" s="598">
        <v>-24539000</v>
      </c>
      <c r="I217" s="598">
        <v>-24539000</v>
      </c>
      <c r="J217" s="599">
        <v>-24539000</v>
      </c>
      <c r="K217" s="600">
        <v>-24489000</v>
      </c>
      <c r="L217" s="601">
        <v>-24489000</v>
      </c>
      <c r="M217" s="602">
        <v>-24489000</v>
      </c>
      <c r="N217" s="603">
        <v>-24471000</v>
      </c>
      <c r="O217" s="604">
        <v>-24471000</v>
      </c>
      <c r="P217" s="605">
        <v>-24471000</v>
      </c>
      <c r="Q217" s="679">
        <v>-24471000</v>
      </c>
      <c r="R217" s="596">
        <v>-24471000</v>
      </c>
      <c r="S217" s="598">
        <f t="shared" si="34"/>
        <v>-24507250</v>
      </c>
      <c r="T217" s="572"/>
      <c r="U217" s="607"/>
      <c r="V217" s="575"/>
      <c r="W217" s="575"/>
      <c r="X217" s="575"/>
      <c r="Y217" s="585"/>
      <c r="Z217" s="585"/>
    </row>
    <row r="218" spans="1:26">
      <c r="A218" s="592" t="s">
        <v>686</v>
      </c>
      <c r="B218" s="592" t="s">
        <v>535</v>
      </c>
      <c r="C218" s="593">
        <v>209</v>
      </c>
      <c r="D218" s="594" t="str">
        <f t="shared" si="36"/>
        <v>2240.18</v>
      </c>
      <c r="E218" s="699" t="s">
        <v>690</v>
      </c>
      <c r="F218" s="596">
        <v>-15000000</v>
      </c>
      <c r="G218" s="678">
        <v>-15000000</v>
      </c>
      <c r="H218" s="598">
        <v>-15000000</v>
      </c>
      <c r="I218" s="598">
        <v>-15000000</v>
      </c>
      <c r="J218" s="599">
        <v>-15000000</v>
      </c>
      <c r="K218" s="600">
        <v>-15000000</v>
      </c>
      <c r="L218" s="601">
        <v>-15000000</v>
      </c>
      <c r="M218" s="602">
        <v>-15000000</v>
      </c>
      <c r="N218" s="603">
        <v>-15000000</v>
      </c>
      <c r="O218" s="604">
        <v>-15000000</v>
      </c>
      <c r="P218" s="605">
        <v>-15000000</v>
      </c>
      <c r="Q218" s="679">
        <v>-15000000</v>
      </c>
      <c r="R218" s="596">
        <v>-15000000</v>
      </c>
      <c r="S218" s="598">
        <f t="shared" si="34"/>
        <v>-15000000</v>
      </c>
      <c r="T218" s="572"/>
      <c r="U218" s="607"/>
      <c r="V218" s="575"/>
      <c r="W218" s="575"/>
      <c r="X218" s="575"/>
      <c r="Y218" s="585"/>
      <c r="Z218" s="585"/>
    </row>
    <row r="219" spans="1:26">
      <c r="A219" s="592" t="s">
        <v>686</v>
      </c>
      <c r="B219" s="592" t="s">
        <v>537</v>
      </c>
      <c r="C219" s="593">
        <v>210</v>
      </c>
      <c r="D219" s="594" t="str">
        <f t="shared" si="36"/>
        <v>2240.19</v>
      </c>
      <c r="E219" s="699" t="s">
        <v>691</v>
      </c>
      <c r="F219" s="596">
        <v>-40000000</v>
      </c>
      <c r="G219" s="678">
        <v>-40000000</v>
      </c>
      <c r="H219" s="598">
        <v>-40000000</v>
      </c>
      <c r="I219" s="598">
        <v>-40000000</v>
      </c>
      <c r="J219" s="599">
        <v>-40000000</v>
      </c>
      <c r="K219" s="600">
        <v>-40000000</v>
      </c>
      <c r="L219" s="601">
        <v>-40000000</v>
      </c>
      <c r="M219" s="602">
        <v>-40000000</v>
      </c>
      <c r="N219" s="603">
        <v>-40000000</v>
      </c>
      <c r="O219" s="604">
        <v>-40000000</v>
      </c>
      <c r="P219" s="605">
        <v>-40000000</v>
      </c>
      <c r="Q219" s="679">
        <v>-40000000</v>
      </c>
      <c r="R219" s="596">
        <v>-40000000</v>
      </c>
      <c r="S219" s="598">
        <f t="shared" si="34"/>
        <v>-40000000</v>
      </c>
      <c r="T219" s="572"/>
      <c r="U219" s="607"/>
      <c r="V219" s="575"/>
      <c r="W219" s="575"/>
      <c r="X219" s="575"/>
      <c r="Y219" s="585"/>
      <c r="Z219" s="585"/>
    </row>
    <row r="220" spans="1:26">
      <c r="A220" s="592" t="s">
        <v>686</v>
      </c>
      <c r="B220" s="592" t="s">
        <v>539</v>
      </c>
      <c r="C220" s="593">
        <v>211</v>
      </c>
      <c r="D220" s="594" t="str">
        <f t="shared" si="36"/>
        <v>2240.20</v>
      </c>
      <c r="E220" s="700" t="s">
        <v>692</v>
      </c>
      <c r="F220" s="596">
        <v>-25000000</v>
      </c>
      <c r="G220" s="678">
        <v>-25000000</v>
      </c>
      <c r="H220" s="598">
        <v>-25000000</v>
      </c>
      <c r="I220" s="598">
        <v>-25000000</v>
      </c>
      <c r="J220" s="599">
        <v>-25000000</v>
      </c>
      <c r="K220" s="600">
        <v>-25000000</v>
      </c>
      <c r="L220" s="601">
        <v>-25000000</v>
      </c>
      <c r="M220" s="602">
        <v>-25000000</v>
      </c>
      <c r="N220" s="603">
        <v>-25000000</v>
      </c>
      <c r="O220" s="604">
        <v>-25000000</v>
      </c>
      <c r="P220" s="605">
        <v>-25000000</v>
      </c>
      <c r="Q220" s="679">
        <v>-25000000</v>
      </c>
      <c r="R220" s="596">
        <v>-25000000</v>
      </c>
      <c r="S220" s="598">
        <f t="shared" si="34"/>
        <v>-25000000</v>
      </c>
      <c r="T220" s="572"/>
      <c r="U220" s="607"/>
      <c r="V220" s="575"/>
      <c r="W220" s="575"/>
      <c r="X220" s="575"/>
      <c r="Y220" s="585"/>
      <c r="Z220" s="585"/>
    </row>
    <row r="221" spans="1:26">
      <c r="A221" s="592" t="s">
        <v>686</v>
      </c>
      <c r="B221" s="592" t="s">
        <v>541</v>
      </c>
      <c r="C221" s="593">
        <v>212</v>
      </c>
      <c r="D221" s="594" t="str">
        <f t="shared" si="36"/>
        <v>2240.21</v>
      </c>
      <c r="E221" s="700" t="s">
        <v>693</v>
      </c>
      <c r="F221" s="596">
        <v>-25000000</v>
      </c>
      <c r="G221" s="678">
        <v>-25000000</v>
      </c>
      <c r="H221" s="598">
        <v>-25000000</v>
      </c>
      <c r="I221" s="598">
        <v>-25000000</v>
      </c>
      <c r="J221" s="599">
        <v>-25000000</v>
      </c>
      <c r="K221" s="600">
        <v>-25000000</v>
      </c>
      <c r="L221" s="601">
        <v>-25000000</v>
      </c>
      <c r="M221" s="602">
        <v>-25000000</v>
      </c>
      <c r="N221" s="603">
        <v>-25000000</v>
      </c>
      <c r="O221" s="604">
        <v>-25000000</v>
      </c>
      <c r="P221" s="605">
        <v>-25000000</v>
      </c>
      <c r="Q221" s="679">
        <v>-25000000</v>
      </c>
      <c r="R221" s="596">
        <v>-25000000</v>
      </c>
      <c r="S221" s="598">
        <f t="shared" si="34"/>
        <v>-25000000</v>
      </c>
      <c r="T221" s="572"/>
      <c r="U221" s="607"/>
      <c r="V221" s="575"/>
      <c r="W221" s="575"/>
      <c r="X221" s="575"/>
      <c r="Y221" s="585"/>
      <c r="Z221" s="585"/>
    </row>
    <row r="222" spans="1:26">
      <c r="A222" s="592" t="s">
        <v>686</v>
      </c>
      <c r="B222" s="592" t="s">
        <v>544</v>
      </c>
      <c r="C222" s="593">
        <v>213</v>
      </c>
      <c r="D222" s="594" t="str">
        <f t="shared" si="36"/>
        <v>2240.23</v>
      </c>
      <c r="E222" s="700" t="s">
        <v>694</v>
      </c>
      <c r="F222" s="604">
        <v>-12500000</v>
      </c>
      <c r="G222" s="604">
        <v>-12500000</v>
      </c>
      <c r="H222" s="604">
        <v>-12500000</v>
      </c>
      <c r="I222" s="604">
        <v>-12500000</v>
      </c>
      <c r="J222" s="673">
        <v>-12500000</v>
      </c>
      <c r="K222" s="673">
        <v>-12500000</v>
      </c>
      <c r="L222" s="604">
        <v>-12500000</v>
      </c>
      <c r="M222" s="604">
        <v>-12500000</v>
      </c>
      <c r="N222" s="604">
        <v>-12500000</v>
      </c>
      <c r="O222" s="604">
        <v>-12500000</v>
      </c>
      <c r="P222" s="604">
        <v>-12500000</v>
      </c>
      <c r="Q222" s="604">
        <v>-12500000</v>
      </c>
      <c r="R222" s="604">
        <v>-12500000</v>
      </c>
      <c r="S222" s="598">
        <f t="shared" si="34"/>
        <v>-12500000</v>
      </c>
      <c r="T222" s="572"/>
      <c r="U222" s="607"/>
      <c r="V222" s="575"/>
      <c r="W222" s="575"/>
      <c r="X222" s="575"/>
      <c r="Y222" s="585"/>
      <c r="Z222" s="585"/>
    </row>
    <row r="223" spans="1:26">
      <c r="A223" s="592" t="s">
        <v>686</v>
      </c>
      <c r="B223" s="592" t="s">
        <v>546</v>
      </c>
      <c r="C223" s="593">
        <v>214</v>
      </c>
      <c r="D223" s="594" t="str">
        <f t="shared" si="36"/>
        <v>2240.24</v>
      </c>
      <c r="E223" s="700" t="s">
        <v>695</v>
      </c>
      <c r="F223" s="604">
        <v>-12500000</v>
      </c>
      <c r="G223" s="604">
        <v>-12500000</v>
      </c>
      <c r="H223" s="604">
        <v>-12500000</v>
      </c>
      <c r="I223" s="604">
        <v>-12500000</v>
      </c>
      <c r="J223" s="673">
        <v>-12500000</v>
      </c>
      <c r="K223" s="673">
        <v>-12500000</v>
      </c>
      <c r="L223" s="604">
        <v>-12500000</v>
      </c>
      <c r="M223" s="604">
        <v>-12500000</v>
      </c>
      <c r="N223" s="604">
        <v>-12500000</v>
      </c>
      <c r="O223" s="604">
        <v>-12500000</v>
      </c>
      <c r="P223" s="604">
        <v>-12500000</v>
      </c>
      <c r="Q223" s="604">
        <v>-12500000</v>
      </c>
      <c r="R223" s="604">
        <v>-12500000</v>
      </c>
      <c r="S223" s="598">
        <f t="shared" si="34"/>
        <v>-12500000</v>
      </c>
      <c r="T223" s="572"/>
      <c r="U223" s="607"/>
      <c r="V223" s="575"/>
      <c r="W223" s="575"/>
      <c r="X223" s="575"/>
      <c r="Y223" s="585"/>
      <c r="Z223" s="585"/>
    </row>
    <row r="224" spans="1:26">
      <c r="A224" s="592" t="s">
        <v>686</v>
      </c>
      <c r="B224" s="592" t="s">
        <v>548</v>
      </c>
      <c r="C224" s="593">
        <v>215</v>
      </c>
      <c r="D224" s="594" t="str">
        <f t="shared" si="36"/>
        <v>2240.25</v>
      </c>
      <c r="E224" s="700" t="s">
        <v>695</v>
      </c>
      <c r="F224" s="604">
        <v>-12500000</v>
      </c>
      <c r="G224" s="604">
        <v>-12500000</v>
      </c>
      <c r="H224" s="604">
        <v>-12500000</v>
      </c>
      <c r="I224" s="604">
        <v>-12500000</v>
      </c>
      <c r="J224" s="673">
        <v>-12500000</v>
      </c>
      <c r="K224" s="673">
        <v>-12500000</v>
      </c>
      <c r="L224" s="604">
        <v>-12500000</v>
      </c>
      <c r="M224" s="604">
        <v>-12500000</v>
      </c>
      <c r="N224" s="604">
        <v>-12500000</v>
      </c>
      <c r="O224" s="604">
        <v>-12500000</v>
      </c>
      <c r="P224" s="604">
        <v>-12500000</v>
      </c>
      <c r="Q224" s="604">
        <v>-12500000</v>
      </c>
      <c r="R224" s="604">
        <v>-12500000</v>
      </c>
      <c r="S224" s="598">
        <f t="shared" si="34"/>
        <v>-12500000</v>
      </c>
      <c r="T224" s="572"/>
      <c r="U224" s="607"/>
      <c r="V224" s="575"/>
      <c r="W224" s="575"/>
      <c r="X224" s="575"/>
      <c r="Y224" s="585"/>
      <c r="Z224" s="585"/>
    </row>
    <row r="225" spans="1:26">
      <c r="A225" s="592" t="s">
        <v>686</v>
      </c>
      <c r="B225" s="592" t="s">
        <v>549</v>
      </c>
      <c r="C225" s="593">
        <v>216</v>
      </c>
      <c r="D225" s="594" t="str">
        <f t="shared" si="36"/>
        <v>2240.26</v>
      </c>
      <c r="E225" s="700" t="s">
        <v>695</v>
      </c>
      <c r="F225" s="604">
        <v>-12500000</v>
      </c>
      <c r="G225" s="604">
        <v>-12500000</v>
      </c>
      <c r="H225" s="604">
        <v>-12500000</v>
      </c>
      <c r="I225" s="604">
        <v>-12500000</v>
      </c>
      <c r="J225" s="673">
        <v>-12500000</v>
      </c>
      <c r="K225" s="673">
        <v>-12500000</v>
      </c>
      <c r="L225" s="604">
        <v>-12500000</v>
      </c>
      <c r="M225" s="604">
        <v>-12500000</v>
      </c>
      <c r="N225" s="604">
        <v>-12500000</v>
      </c>
      <c r="O225" s="604">
        <v>-12500000</v>
      </c>
      <c r="P225" s="604">
        <v>-12500000</v>
      </c>
      <c r="Q225" s="604">
        <v>-12500000</v>
      </c>
      <c r="R225" s="604">
        <v>-12500000</v>
      </c>
      <c r="S225" s="598">
        <f t="shared" si="34"/>
        <v>-12500000</v>
      </c>
      <c r="T225" s="572"/>
      <c r="U225" s="607"/>
      <c r="V225" s="575"/>
      <c r="W225" s="575"/>
      <c r="X225" s="575"/>
      <c r="Y225" s="585"/>
      <c r="Z225" s="585"/>
    </row>
    <row r="226" spans="1:26">
      <c r="A226" s="592" t="s">
        <v>686</v>
      </c>
      <c r="B226" s="592" t="s">
        <v>995</v>
      </c>
      <c r="C226" s="593">
        <v>217</v>
      </c>
      <c r="D226" s="594" t="str">
        <f t="shared" si="36"/>
        <v>2240.99</v>
      </c>
      <c r="E226" s="700" t="s">
        <v>997</v>
      </c>
      <c r="F226" s="604"/>
      <c r="G226" s="604">
        <v>2104120.19</v>
      </c>
      <c r="H226" s="604">
        <v>2093227.2</v>
      </c>
      <c r="I226" s="604">
        <v>2077862.81</v>
      </c>
      <c r="J226" s="673">
        <v>2066981.14</v>
      </c>
      <c r="K226" s="673">
        <v>2056099.47</v>
      </c>
      <c r="L226" s="604">
        <v>2045217.8</v>
      </c>
      <c r="M226" s="604">
        <v>2034336.13</v>
      </c>
      <c r="N226" s="604">
        <v>2023454.46</v>
      </c>
      <c r="O226" s="604">
        <v>2012572.79</v>
      </c>
      <c r="P226" s="604">
        <v>2001691.12</v>
      </c>
      <c r="Q226" s="604">
        <v>1990809.45</v>
      </c>
      <c r="R226" s="604">
        <v>1979927.78</v>
      </c>
      <c r="S226" s="598">
        <f t="shared" si="34"/>
        <v>1958028.0374999999</v>
      </c>
      <c r="T226" s="572"/>
      <c r="U226" s="607"/>
      <c r="V226" s="575"/>
      <c r="W226" s="575"/>
      <c r="X226" s="575"/>
      <c r="Y226" s="585"/>
      <c r="Z226" s="585"/>
    </row>
    <row r="227" spans="1:26" ht="31.5">
      <c r="A227" s="592" t="s">
        <v>696</v>
      </c>
      <c r="B227" s="592" t="s">
        <v>492</v>
      </c>
      <c r="C227" s="593">
        <v>218</v>
      </c>
      <c r="D227" s="594" t="str">
        <f t="shared" si="36"/>
        <v>2241.02</v>
      </c>
      <c r="E227" s="701" t="s">
        <v>697</v>
      </c>
      <c r="F227" s="596">
        <v>0</v>
      </c>
      <c r="G227" s="678">
        <v>0</v>
      </c>
      <c r="H227" s="598">
        <v>0</v>
      </c>
      <c r="I227" s="598">
        <v>0</v>
      </c>
      <c r="J227" s="599">
        <v>0</v>
      </c>
      <c r="K227" s="600">
        <v>0</v>
      </c>
      <c r="L227" s="601">
        <v>0</v>
      </c>
      <c r="M227" s="602">
        <v>0</v>
      </c>
      <c r="N227" s="603">
        <v>0</v>
      </c>
      <c r="O227" s="604">
        <v>0</v>
      </c>
      <c r="P227" s="605">
        <v>0</v>
      </c>
      <c r="Q227" s="679">
        <v>0</v>
      </c>
      <c r="R227" s="596">
        <v>0</v>
      </c>
      <c r="S227" s="598">
        <f t="shared" si="34"/>
        <v>0</v>
      </c>
      <c r="T227" s="572"/>
      <c r="U227" s="607"/>
      <c r="V227" s="575"/>
      <c r="W227" s="575"/>
      <c r="X227" s="575"/>
      <c r="Y227" s="585"/>
      <c r="Z227" s="585"/>
    </row>
    <row r="228" spans="1:26" ht="31.5">
      <c r="A228" s="592" t="s">
        <v>696</v>
      </c>
      <c r="B228" s="592" t="s">
        <v>554</v>
      </c>
      <c r="C228" s="593">
        <v>219</v>
      </c>
      <c r="D228" s="594" t="str">
        <f t="shared" si="36"/>
        <v>2241.03</v>
      </c>
      <c r="E228" s="701" t="s">
        <v>698</v>
      </c>
      <c r="F228" s="596">
        <v>0</v>
      </c>
      <c r="G228" s="678">
        <v>0</v>
      </c>
      <c r="H228" s="598">
        <v>0</v>
      </c>
      <c r="I228" s="598">
        <v>0</v>
      </c>
      <c r="J228" s="599">
        <v>0</v>
      </c>
      <c r="K228" s="600">
        <v>0</v>
      </c>
      <c r="L228" s="601">
        <v>0</v>
      </c>
      <c r="M228" s="602">
        <v>0</v>
      </c>
      <c r="N228" s="603">
        <v>0</v>
      </c>
      <c r="O228" s="604">
        <v>0</v>
      </c>
      <c r="P228" s="605">
        <v>0</v>
      </c>
      <c r="Q228" s="679">
        <v>0</v>
      </c>
      <c r="R228" s="596">
        <v>0</v>
      </c>
      <c r="S228" s="598">
        <f t="shared" si="34"/>
        <v>0</v>
      </c>
      <c r="T228" s="572"/>
      <c r="U228" s="607"/>
      <c r="V228" s="575"/>
      <c r="W228" s="575"/>
      <c r="X228" s="575"/>
      <c r="Y228" s="585"/>
      <c r="Z228" s="585"/>
    </row>
    <row r="229" spans="1:26" ht="31.5">
      <c r="A229" s="592" t="s">
        <v>696</v>
      </c>
      <c r="B229" s="592" t="s">
        <v>556</v>
      </c>
      <c r="C229" s="593">
        <v>220</v>
      </c>
      <c r="D229" s="594" t="str">
        <f t="shared" si="36"/>
        <v>2241.04</v>
      </c>
      <c r="E229" s="701" t="s">
        <v>699</v>
      </c>
      <c r="F229" s="596">
        <v>0</v>
      </c>
      <c r="G229" s="678">
        <v>0</v>
      </c>
      <c r="H229" s="598">
        <v>0</v>
      </c>
      <c r="I229" s="598">
        <v>0</v>
      </c>
      <c r="J229" s="599">
        <v>0</v>
      </c>
      <c r="K229" s="600">
        <v>0</v>
      </c>
      <c r="L229" s="601">
        <v>0</v>
      </c>
      <c r="M229" s="602">
        <v>0</v>
      </c>
      <c r="N229" s="603">
        <v>0</v>
      </c>
      <c r="O229" s="604">
        <v>0</v>
      </c>
      <c r="P229" s="605">
        <v>0</v>
      </c>
      <c r="Q229" s="679">
        <v>0</v>
      </c>
      <c r="R229" s="596">
        <v>0</v>
      </c>
      <c r="S229" s="598">
        <f t="shared" si="34"/>
        <v>0</v>
      </c>
      <c r="T229" s="572"/>
      <c r="U229" s="607"/>
      <c r="V229" s="575"/>
      <c r="W229" s="575"/>
      <c r="X229" s="575"/>
      <c r="Y229" s="585"/>
      <c r="Z229" s="585"/>
    </row>
    <row r="230" spans="1:26" ht="31.5">
      <c r="A230" s="592" t="s">
        <v>696</v>
      </c>
      <c r="B230" s="592" t="s">
        <v>700</v>
      </c>
      <c r="C230" s="593">
        <v>221</v>
      </c>
      <c r="D230" s="594" t="str">
        <f t="shared" si="36"/>
        <v>2241.06</v>
      </c>
      <c r="E230" s="701" t="s">
        <v>701</v>
      </c>
      <c r="F230" s="596">
        <v>0</v>
      </c>
      <c r="G230" s="678">
        <v>0</v>
      </c>
      <c r="H230" s="598">
        <v>0</v>
      </c>
      <c r="I230" s="598">
        <v>0</v>
      </c>
      <c r="J230" s="599">
        <v>0</v>
      </c>
      <c r="K230" s="600">
        <v>0</v>
      </c>
      <c r="L230" s="601">
        <v>0</v>
      </c>
      <c r="M230" s="602">
        <v>0</v>
      </c>
      <c r="N230" s="603">
        <v>0</v>
      </c>
      <c r="O230" s="604">
        <v>0</v>
      </c>
      <c r="P230" s="605">
        <v>0</v>
      </c>
      <c r="Q230" s="679">
        <v>0</v>
      </c>
      <c r="R230" s="596">
        <v>0</v>
      </c>
      <c r="S230" s="598">
        <f t="shared" si="34"/>
        <v>0</v>
      </c>
      <c r="T230" s="572"/>
      <c r="U230" s="607"/>
      <c r="V230" s="575"/>
      <c r="W230" s="575"/>
      <c r="X230" s="575"/>
      <c r="Y230" s="585"/>
      <c r="Z230" s="585"/>
    </row>
    <row r="231" spans="1:26" ht="31.5">
      <c r="A231" s="592" t="s">
        <v>696</v>
      </c>
      <c r="B231" s="592" t="s">
        <v>702</v>
      </c>
      <c r="C231" s="593">
        <v>222</v>
      </c>
      <c r="D231" s="594" t="str">
        <f t="shared" si="36"/>
        <v>2241.07</v>
      </c>
      <c r="E231" s="701" t="s">
        <v>703</v>
      </c>
      <c r="F231" s="596">
        <v>0</v>
      </c>
      <c r="G231" s="678">
        <v>0</v>
      </c>
      <c r="H231" s="598">
        <v>0</v>
      </c>
      <c r="I231" s="598">
        <v>0</v>
      </c>
      <c r="J231" s="599">
        <v>0</v>
      </c>
      <c r="K231" s="600">
        <v>0</v>
      </c>
      <c r="L231" s="601">
        <v>0</v>
      </c>
      <c r="M231" s="602">
        <v>0</v>
      </c>
      <c r="N231" s="603">
        <v>0</v>
      </c>
      <c r="O231" s="604">
        <v>0</v>
      </c>
      <c r="P231" s="605">
        <v>0</v>
      </c>
      <c r="Q231" s="679">
        <v>0</v>
      </c>
      <c r="R231" s="596">
        <v>0</v>
      </c>
      <c r="S231" s="598">
        <f t="shared" si="34"/>
        <v>0</v>
      </c>
      <c r="T231" s="572"/>
      <c r="U231" s="607"/>
      <c r="V231" s="575"/>
      <c r="W231" s="575"/>
      <c r="X231" s="575"/>
      <c r="Y231" s="585"/>
      <c r="Z231" s="585"/>
    </row>
    <row r="232" spans="1:26" ht="31.5">
      <c r="A232" s="592" t="s">
        <v>696</v>
      </c>
      <c r="B232" s="592" t="s">
        <v>704</v>
      </c>
      <c r="C232" s="593">
        <v>223</v>
      </c>
      <c r="D232" s="594" t="str">
        <f t="shared" si="36"/>
        <v>2241.08</v>
      </c>
      <c r="E232" s="701" t="s">
        <v>705</v>
      </c>
      <c r="F232" s="596">
        <v>0</v>
      </c>
      <c r="G232" s="678">
        <v>0</v>
      </c>
      <c r="H232" s="598">
        <v>0</v>
      </c>
      <c r="I232" s="598">
        <v>0</v>
      </c>
      <c r="J232" s="599">
        <v>0</v>
      </c>
      <c r="K232" s="600">
        <v>0</v>
      </c>
      <c r="L232" s="601">
        <v>0</v>
      </c>
      <c r="M232" s="602">
        <v>0</v>
      </c>
      <c r="N232" s="603">
        <v>0</v>
      </c>
      <c r="O232" s="673">
        <v>0</v>
      </c>
      <c r="P232" s="605">
        <v>0</v>
      </c>
      <c r="Q232" s="679">
        <v>0</v>
      </c>
      <c r="R232" s="596">
        <v>0</v>
      </c>
      <c r="S232" s="598">
        <f t="shared" si="34"/>
        <v>0</v>
      </c>
      <c r="T232" s="572"/>
      <c r="U232" s="607"/>
      <c r="V232" s="575"/>
      <c r="W232" s="575"/>
      <c r="X232" s="575"/>
      <c r="Y232" s="585"/>
      <c r="Z232" s="585"/>
    </row>
    <row r="233" spans="1:26">
      <c r="A233" s="592" t="s">
        <v>706</v>
      </c>
      <c r="B233" s="592" t="s">
        <v>512</v>
      </c>
      <c r="C233" s="593">
        <v>224</v>
      </c>
      <c r="D233" s="594" t="str">
        <f t="shared" si="36"/>
        <v>2242.01</v>
      </c>
      <c r="E233" s="592" t="s">
        <v>707</v>
      </c>
      <c r="F233" s="604">
        <v>0</v>
      </c>
      <c r="G233" s="604">
        <v>0</v>
      </c>
      <c r="H233" s="604">
        <v>0</v>
      </c>
      <c r="I233" s="604">
        <v>0</v>
      </c>
      <c r="J233" s="673">
        <v>0</v>
      </c>
      <c r="K233" s="673">
        <v>0</v>
      </c>
      <c r="L233" s="604">
        <v>0</v>
      </c>
      <c r="M233" s="604">
        <v>0</v>
      </c>
      <c r="N233" s="604">
        <v>0</v>
      </c>
      <c r="O233" s="604">
        <v>0</v>
      </c>
      <c r="P233" s="604">
        <v>0</v>
      </c>
      <c r="Q233" s="604">
        <v>0</v>
      </c>
      <c r="R233" s="604">
        <v>0</v>
      </c>
      <c r="S233" s="598">
        <f t="shared" si="34"/>
        <v>0</v>
      </c>
      <c r="T233" s="572"/>
      <c r="U233" s="607"/>
      <c r="V233" s="575"/>
      <c r="W233" s="575"/>
      <c r="X233" s="575"/>
      <c r="Y233" s="585"/>
      <c r="Z233" s="585"/>
    </row>
    <row r="234" spans="1:26">
      <c r="A234" s="592"/>
      <c r="B234" s="592"/>
      <c r="C234" s="593">
        <v>225</v>
      </c>
      <c r="D234" s="594"/>
      <c r="E234" s="650" t="s">
        <v>708</v>
      </c>
      <c r="F234" s="620">
        <f>SUM(F215:F233)</f>
        <v>-214589000</v>
      </c>
      <c r="G234" s="620">
        <f t="shared" ref="G234:S234" si="37">SUM(G215:G233)</f>
        <v>-212484879.81</v>
      </c>
      <c r="H234" s="620">
        <f t="shared" si="37"/>
        <v>-212445772.80000001</v>
      </c>
      <c r="I234" s="620">
        <f t="shared" si="37"/>
        <v>-212461137.19</v>
      </c>
      <c r="J234" s="620">
        <f t="shared" si="37"/>
        <v>-212472018.86000001</v>
      </c>
      <c r="K234" s="620">
        <f t="shared" si="37"/>
        <v>-212432900.53</v>
      </c>
      <c r="L234" s="620">
        <f t="shared" si="37"/>
        <v>-212443782.19999999</v>
      </c>
      <c r="M234" s="620">
        <f t="shared" si="37"/>
        <v>-212454663.87</v>
      </c>
      <c r="N234" s="620">
        <f t="shared" si="37"/>
        <v>-212447545.53999999</v>
      </c>
      <c r="O234" s="620">
        <f t="shared" si="37"/>
        <v>-212458427.21000001</v>
      </c>
      <c r="P234" s="620">
        <f t="shared" si="37"/>
        <v>-212469308.88</v>
      </c>
      <c r="Q234" s="620">
        <f t="shared" si="37"/>
        <v>-212480190.55000001</v>
      </c>
      <c r="R234" s="620">
        <f t="shared" si="37"/>
        <v>-212491072.22</v>
      </c>
      <c r="S234" s="620">
        <f t="shared" si="37"/>
        <v>-212549221.96250001</v>
      </c>
      <c r="T234" s="572"/>
      <c r="U234" s="608">
        <f>S234</f>
        <v>-212549221.96250001</v>
      </c>
      <c r="V234" s="575"/>
      <c r="W234" s="575"/>
      <c r="X234" s="575"/>
      <c r="Y234" s="585"/>
      <c r="Z234" s="585"/>
    </row>
    <row r="235" spans="1:26">
      <c r="A235" s="592"/>
      <c r="B235" s="592"/>
      <c r="C235" s="593">
        <v>226</v>
      </c>
      <c r="D235" s="594"/>
      <c r="E235" s="650"/>
      <c r="F235" s="596"/>
      <c r="G235" s="678"/>
      <c r="H235" s="598"/>
      <c r="I235" s="598"/>
      <c r="J235" s="599"/>
      <c r="K235" s="600"/>
      <c r="L235" s="601"/>
      <c r="M235" s="602"/>
      <c r="N235" s="603"/>
      <c r="O235" s="604"/>
      <c r="P235" s="605"/>
      <c r="Q235" s="679"/>
      <c r="R235" s="596"/>
      <c r="S235" s="598">
        <f t="shared" si="34"/>
        <v>0</v>
      </c>
      <c r="T235" s="572"/>
      <c r="U235" s="607"/>
      <c r="V235" s="575"/>
      <c r="W235" s="575"/>
      <c r="X235" s="575"/>
      <c r="Y235" s="585"/>
      <c r="Z235" s="585"/>
    </row>
    <row r="236" spans="1:26">
      <c r="A236" s="592" t="s">
        <v>709</v>
      </c>
      <c r="B236" s="592" t="s">
        <v>398</v>
      </c>
      <c r="C236" s="593">
        <v>227</v>
      </c>
      <c r="D236" s="592" t="str">
        <f>+A236</f>
        <v>2310</v>
      </c>
      <c r="E236" s="650" t="s">
        <v>710</v>
      </c>
      <c r="F236" s="596">
        <v>0</v>
      </c>
      <c r="G236" s="678">
        <v>0</v>
      </c>
      <c r="H236" s="598">
        <v>0</v>
      </c>
      <c r="I236" s="598">
        <v>0</v>
      </c>
      <c r="J236" s="599">
        <v>0</v>
      </c>
      <c r="K236" s="600">
        <v>0</v>
      </c>
      <c r="L236" s="601">
        <v>0</v>
      </c>
      <c r="M236" s="602">
        <v>0</v>
      </c>
      <c r="N236" s="603">
        <v>0</v>
      </c>
      <c r="O236" s="604">
        <v>0</v>
      </c>
      <c r="P236" s="605">
        <v>0</v>
      </c>
      <c r="Q236" s="679">
        <v>0</v>
      </c>
      <c r="R236" s="596">
        <v>0</v>
      </c>
      <c r="S236" s="598">
        <f t="shared" si="34"/>
        <v>0</v>
      </c>
      <c r="T236" s="572"/>
      <c r="U236" s="608">
        <f>S236</f>
        <v>0</v>
      </c>
      <c r="V236" s="607"/>
      <c r="W236" s="607"/>
      <c r="X236" s="608"/>
      <c r="Y236" s="585"/>
      <c r="Z236" s="585"/>
    </row>
    <row r="237" spans="1:26">
      <c r="A237" s="592" t="s">
        <v>711</v>
      </c>
      <c r="B237" s="592" t="s">
        <v>712</v>
      </c>
      <c r="C237" s="593">
        <v>228</v>
      </c>
      <c r="D237" s="570" t="str">
        <f>A237&amp;"."&amp;B237</f>
        <v>2330.045</v>
      </c>
      <c r="E237" s="592" t="s">
        <v>713</v>
      </c>
      <c r="F237" s="596">
        <v>0</v>
      </c>
      <c r="G237" s="678">
        <v>0</v>
      </c>
      <c r="H237" s="598">
        <v>0</v>
      </c>
      <c r="I237" s="598">
        <v>0</v>
      </c>
      <c r="J237" s="599">
        <v>0</v>
      </c>
      <c r="K237" s="600">
        <v>0</v>
      </c>
      <c r="L237" s="601">
        <v>0</v>
      </c>
      <c r="M237" s="602">
        <v>0</v>
      </c>
      <c r="N237" s="603">
        <v>0</v>
      </c>
      <c r="O237" s="604">
        <v>0</v>
      </c>
      <c r="P237" s="605">
        <v>0</v>
      </c>
      <c r="Q237" s="679">
        <v>0</v>
      </c>
      <c r="R237" s="596">
        <v>0</v>
      </c>
      <c r="S237" s="598">
        <f t="shared" si="34"/>
        <v>0</v>
      </c>
      <c r="T237" s="572"/>
      <c r="U237" s="607"/>
      <c r="V237" s="607"/>
      <c r="W237" s="607"/>
      <c r="X237" s="607"/>
      <c r="Y237" s="585"/>
      <c r="Z237" s="585"/>
    </row>
    <row r="238" spans="1:26">
      <c r="A238" s="592"/>
      <c r="B238" s="592"/>
      <c r="C238" s="593">
        <v>229</v>
      </c>
      <c r="D238" s="594"/>
      <c r="E238" s="650"/>
      <c r="F238" s="596"/>
      <c r="G238" s="678"/>
      <c r="H238" s="598"/>
      <c r="I238" s="598"/>
      <c r="J238" s="599"/>
      <c r="K238" s="600"/>
      <c r="L238" s="601"/>
      <c r="M238" s="602"/>
      <c r="N238" s="603"/>
      <c r="O238" s="604"/>
      <c r="P238" s="605"/>
      <c r="Q238" s="679"/>
      <c r="R238" s="596"/>
      <c r="S238" s="598">
        <f t="shared" si="34"/>
        <v>0</v>
      </c>
      <c r="T238" s="572"/>
      <c r="U238" s="607"/>
      <c r="V238" s="607"/>
      <c r="W238" s="607"/>
      <c r="X238" s="607"/>
      <c r="Y238" s="585"/>
      <c r="Z238" s="585"/>
    </row>
    <row r="239" spans="1:26">
      <c r="A239" s="592" t="s">
        <v>714</v>
      </c>
      <c r="B239" s="592" t="s">
        <v>398</v>
      </c>
      <c r="C239" s="593">
        <v>230</v>
      </c>
      <c r="D239" s="592" t="str">
        <f>+A239</f>
        <v>2321</v>
      </c>
      <c r="E239" s="650" t="s">
        <v>715</v>
      </c>
      <c r="F239" s="596">
        <v>-2632243.14</v>
      </c>
      <c r="G239" s="678">
        <v>-932061.88</v>
      </c>
      <c r="H239" s="598">
        <v>-1268442.46</v>
      </c>
      <c r="I239" s="598">
        <v>-1261061.97</v>
      </c>
      <c r="J239" s="599">
        <v>-2118018.4300000002</v>
      </c>
      <c r="K239" s="600">
        <v>-2776132.13</v>
      </c>
      <c r="L239" s="601">
        <v>-1910577.14</v>
      </c>
      <c r="M239" s="602">
        <v>-1163398.6100000001</v>
      </c>
      <c r="N239" s="603">
        <v>-2492662.4</v>
      </c>
      <c r="O239" s="604">
        <v>-2252485.5099999998</v>
      </c>
      <c r="P239" s="605">
        <v>-1248713.28</v>
      </c>
      <c r="Q239" s="679">
        <v>-1464995.91</v>
      </c>
      <c r="R239" s="596">
        <v>-3872593.05</v>
      </c>
      <c r="S239" s="598">
        <f t="shared" si="34"/>
        <v>-1845080.6512499999</v>
      </c>
      <c r="T239" s="572"/>
      <c r="U239" s="607"/>
      <c r="V239" s="607"/>
      <c r="W239" s="607"/>
      <c r="X239" s="608">
        <f>S239</f>
        <v>-1845080.6512499999</v>
      </c>
      <c r="Y239" s="585"/>
      <c r="Z239" s="585"/>
    </row>
    <row r="240" spans="1:26">
      <c r="A240" s="568" t="s">
        <v>716</v>
      </c>
      <c r="B240" s="592" t="s">
        <v>998</v>
      </c>
      <c r="C240" s="593">
        <v>231</v>
      </c>
      <c r="D240" s="592" t="s">
        <v>716</v>
      </c>
      <c r="E240" s="613" t="s">
        <v>999</v>
      </c>
      <c r="F240" s="596">
        <v>0</v>
      </c>
      <c r="G240" s="678">
        <v>0</v>
      </c>
      <c r="H240" s="598">
        <v>0</v>
      </c>
      <c r="I240" s="598">
        <v>0</v>
      </c>
      <c r="J240" s="599">
        <v>0</v>
      </c>
      <c r="K240" s="600">
        <v>-7174.24</v>
      </c>
      <c r="L240" s="601">
        <v>-47647.49</v>
      </c>
      <c r="M240" s="602">
        <v>-13364.19</v>
      </c>
      <c r="N240" s="603">
        <v>-123251.5</v>
      </c>
      <c r="O240" s="604">
        <v>-116359</v>
      </c>
      <c r="P240" s="605">
        <v>-110921.31</v>
      </c>
      <c r="Q240" s="679">
        <v>-20605.52</v>
      </c>
      <c r="R240" s="596">
        <v>-196293.75</v>
      </c>
      <c r="S240" s="598">
        <f t="shared" si="34"/>
        <v>-44789.177083333336</v>
      </c>
      <c r="T240" s="572"/>
      <c r="U240" s="607"/>
      <c r="V240" s="607"/>
      <c r="W240" s="607"/>
      <c r="X240" s="608">
        <f>S240</f>
        <v>-44789.177083333336</v>
      </c>
      <c r="Y240" s="585"/>
      <c r="Z240" s="585"/>
    </row>
    <row r="241" spans="1:26">
      <c r="A241" s="568" t="s">
        <v>716</v>
      </c>
      <c r="B241" s="568" t="s">
        <v>434</v>
      </c>
      <c r="C241" s="593">
        <v>232</v>
      </c>
      <c r="D241" s="570" t="str">
        <f>A241&amp;"."&amp;B241</f>
        <v>2322.1*</v>
      </c>
      <c r="E241" s="650" t="s">
        <v>717</v>
      </c>
      <c r="F241" s="596">
        <v>-18234135.59</v>
      </c>
      <c r="G241" s="678">
        <v>-19391764.940000001</v>
      </c>
      <c r="H241" s="598">
        <v>-13030468.84</v>
      </c>
      <c r="I241" s="598">
        <v>-11601271.02</v>
      </c>
      <c r="J241" s="599">
        <v>-8766764.0800000001</v>
      </c>
      <c r="K241" s="600">
        <v>-7374700.1100000003</v>
      </c>
      <c r="L241" s="601">
        <v>-6311789.5599999996</v>
      </c>
      <c r="M241" s="602">
        <v>-7758729.8399999999</v>
      </c>
      <c r="N241" s="603">
        <v>-8119312.1200000001</v>
      </c>
      <c r="O241" s="604">
        <v>-8761209.8200000003</v>
      </c>
      <c r="P241" s="605">
        <v>-9979998.6999999993</v>
      </c>
      <c r="Q241" s="679">
        <v>-14927334.35</v>
      </c>
      <c r="R241" s="596">
        <v>-22858356.27</v>
      </c>
      <c r="S241" s="598">
        <f t="shared" si="34"/>
        <v>-11380799.109166667</v>
      </c>
      <c r="T241" s="572"/>
      <c r="U241" s="607"/>
      <c r="V241" s="607"/>
      <c r="W241" s="607"/>
      <c r="X241" s="608">
        <f>S241</f>
        <v>-11380799.109166667</v>
      </c>
      <c r="Y241" s="585"/>
      <c r="Z241" s="585"/>
    </row>
    <row r="242" spans="1:26">
      <c r="A242" s="568" t="s">
        <v>716</v>
      </c>
      <c r="B242" s="568" t="s">
        <v>718</v>
      </c>
      <c r="C242" s="593">
        <v>233</v>
      </c>
      <c r="D242" s="570" t="str">
        <f>A242&amp;"."&amp;B242</f>
        <v>2322.[2*,/217]</v>
      </c>
      <c r="E242" s="568" t="s">
        <v>719</v>
      </c>
      <c r="F242" s="596">
        <v>0</v>
      </c>
      <c r="G242" s="678">
        <v>0</v>
      </c>
      <c r="H242" s="598">
        <v>0</v>
      </c>
      <c r="I242" s="598">
        <v>0</v>
      </c>
      <c r="J242" s="599">
        <v>0</v>
      </c>
      <c r="K242" s="600">
        <v>0</v>
      </c>
      <c r="L242" s="601">
        <v>0</v>
      </c>
      <c r="M242" s="602">
        <v>0</v>
      </c>
      <c r="N242" s="603">
        <v>0</v>
      </c>
      <c r="O242" s="604">
        <v>0</v>
      </c>
      <c r="P242" s="605">
        <v>0</v>
      </c>
      <c r="Q242" s="679">
        <v>0</v>
      </c>
      <c r="R242" s="596">
        <v>0</v>
      </c>
      <c r="S242" s="598">
        <f t="shared" si="34"/>
        <v>0</v>
      </c>
      <c r="T242" s="572"/>
      <c r="U242" s="607"/>
      <c r="V242" s="607"/>
      <c r="W242" s="607"/>
      <c r="X242" s="607"/>
      <c r="Y242" s="585"/>
      <c r="Z242" s="585"/>
    </row>
    <row r="243" spans="1:26">
      <c r="A243" s="568" t="s">
        <v>716</v>
      </c>
      <c r="B243" s="568" t="s">
        <v>720</v>
      </c>
      <c r="C243" s="593">
        <v>234</v>
      </c>
      <c r="D243" s="570" t="str">
        <f>A243&amp;"."&amp;B243</f>
        <v>2322.[217*]</v>
      </c>
      <c r="E243" s="568" t="s">
        <v>721</v>
      </c>
      <c r="F243" s="596"/>
      <c r="G243" s="678"/>
      <c r="H243" s="598"/>
      <c r="I243" s="598"/>
      <c r="J243" s="599"/>
      <c r="K243" s="600"/>
      <c r="L243" s="601"/>
      <c r="M243" s="602"/>
      <c r="N243" s="603"/>
      <c r="O243" s="604"/>
      <c r="P243" s="605"/>
      <c r="Q243" s="679"/>
      <c r="R243" s="596">
        <v>-1209848.1399999999</v>
      </c>
      <c r="S243" s="598">
        <f t="shared" si="34"/>
        <v>-50410.339166666665</v>
      </c>
      <c r="T243" s="572"/>
      <c r="U243" s="607"/>
      <c r="V243" s="607"/>
      <c r="W243" s="607"/>
      <c r="X243" s="608">
        <f>+S243</f>
        <v>-50410.339166666665</v>
      </c>
      <c r="Y243" s="585"/>
      <c r="Z243" s="585"/>
    </row>
    <row r="244" spans="1:26">
      <c r="A244" s="568" t="s">
        <v>716</v>
      </c>
      <c r="B244" s="568" t="s">
        <v>722</v>
      </c>
      <c r="C244" s="593">
        <v>235</v>
      </c>
      <c r="D244" s="570" t="str">
        <f>A244&amp;"."&amp;B244</f>
        <v>2322.[4*,009]</v>
      </c>
      <c r="E244" s="650" t="s">
        <v>723</v>
      </c>
      <c r="F244" s="596">
        <v>-1438.53</v>
      </c>
      <c r="G244" s="678">
        <v>0</v>
      </c>
      <c r="H244" s="598">
        <v>-3313.53</v>
      </c>
      <c r="I244" s="598">
        <v>-2109.54</v>
      </c>
      <c r="J244" s="599">
        <v>0</v>
      </c>
      <c r="K244" s="600">
        <v>-3496.21</v>
      </c>
      <c r="L244" s="601">
        <v>-2220.6</v>
      </c>
      <c r="M244" s="602">
        <v>-4.5474735088646402E-13</v>
      </c>
      <c r="N244" s="603">
        <v>-8836.08</v>
      </c>
      <c r="O244" s="604">
        <v>-5388.41</v>
      </c>
      <c r="P244" s="605">
        <v>-4445.25</v>
      </c>
      <c r="Q244" s="679">
        <v>-22386.65</v>
      </c>
      <c r="R244" s="596">
        <v>-359559.65</v>
      </c>
      <c r="S244" s="598">
        <f t="shared" si="34"/>
        <v>-19391.280000000002</v>
      </c>
      <c r="T244" s="572"/>
      <c r="U244" s="607"/>
      <c r="V244" s="607"/>
      <c r="W244" s="607"/>
      <c r="X244" s="608">
        <f>S244</f>
        <v>-19391.280000000002</v>
      </c>
      <c r="Y244" s="585"/>
      <c r="Z244" s="585"/>
    </row>
    <row r="245" spans="1:26">
      <c r="A245" s="568" t="s">
        <v>716</v>
      </c>
      <c r="B245" s="568" t="s">
        <v>724</v>
      </c>
      <c r="C245" s="593">
        <v>236</v>
      </c>
      <c r="D245" s="570" t="str">
        <f>A245&amp;"."&amp;B245</f>
        <v>2322.3*</v>
      </c>
      <c r="E245" s="650" t="s">
        <v>725</v>
      </c>
      <c r="F245" s="596">
        <v>-5893.5800000000199</v>
      </c>
      <c r="G245" s="678">
        <v>-7031.79</v>
      </c>
      <c r="H245" s="598">
        <v>10476.73</v>
      </c>
      <c r="I245" s="598">
        <v>-112571.75</v>
      </c>
      <c r="J245" s="599">
        <v>-108695.88</v>
      </c>
      <c r="K245" s="600">
        <v>12333.46</v>
      </c>
      <c r="L245" s="601">
        <v>14294.76</v>
      </c>
      <c r="M245" s="602">
        <v>11550.38</v>
      </c>
      <c r="N245" s="603">
        <v>-116783.52</v>
      </c>
      <c r="O245" s="604">
        <v>-118590.76</v>
      </c>
      <c r="P245" s="605">
        <v>-3146.2200000000198</v>
      </c>
      <c r="Q245" s="679">
        <v>-7857.6400000000203</v>
      </c>
      <c r="R245" s="596">
        <v>-13011.26</v>
      </c>
      <c r="S245" s="598">
        <f t="shared" si="34"/>
        <v>-36289.554166666669</v>
      </c>
      <c r="T245" s="572"/>
      <c r="U245" s="607"/>
      <c r="V245" s="607"/>
      <c r="W245" s="607"/>
      <c r="X245" s="608">
        <f>S245</f>
        <v>-36289.554166666669</v>
      </c>
      <c r="Y245" s="585"/>
      <c r="Z245" s="585"/>
    </row>
    <row r="246" spans="1:26">
      <c r="A246" s="592" t="s">
        <v>726</v>
      </c>
      <c r="B246" s="592" t="s">
        <v>398</v>
      </c>
      <c r="C246" s="593">
        <v>237</v>
      </c>
      <c r="D246" s="592" t="str">
        <f>+A246</f>
        <v>2323</v>
      </c>
      <c r="E246" s="650" t="s">
        <v>727</v>
      </c>
      <c r="F246" s="596">
        <v>-145487</v>
      </c>
      <c r="G246" s="678">
        <v>-76962.429999999993</v>
      </c>
      <c r="H246" s="598">
        <v>-199193.18</v>
      </c>
      <c r="I246" s="598">
        <v>-540960.78</v>
      </c>
      <c r="J246" s="599">
        <v>-479413.69</v>
      </c>
      <c r="K246" s="600">
        <v>-230955.63</v>
      </c>
      <c r="L246" s="601">
        <v>-394986.89</v>
      </c>
      <c r="M246" s="602">
        <v>-261650.2</v>
      </c>
      <c r="N246" s="603">
        <v>-142219.95000000001</v>
      </c>
      <c r="O246" s="604">
        <v>-620952.82999999996</v>
      </c>
      <c r="P246" s="605">
        <v>-390564.37</v>
      </c>
      <c r="Q246" s="679">
        <v>-307623.27</v>
      </c>
      <c r="R246" s="596">
        <v>-253348.6</v>
      </c>
      <c r="S246" s="598">
        <f t="shared" si="34"/>
        <v>-320408.41833333339</v>
      </c>
      <c r="T246" s="572"/>
      <c r="U246" s="607"/>
      <c r="V246" s="607"/>
      <c r="W246" s="607"/>
      <c r="X246" s="608">
        <f>S246</f>
        <v>-320408.41833333339</v>
      </c>
      <c r="Y246" s="585"/>
      <c r="Z246" s="585"/>
    </row>
    <row r="247" spans="1:26">
      <c r="A247" s="592"/>
      <c r="B247" s="592"/>
      <c r="C247" s="593">
        <v>238</v>
      </c>
      <c r="D247" s="594"/>
      <c r="E247" s="650"/>
      <c r="F247" s="596"/>
      <c r="G247" s="678"/>
      <c r="H247" s="598"/>
      <c r="I247" s="598"/>
      <c r="J247" s="599"/>
      <c r="K247" s="600"/>
      <c r="L247" s="601"/>
      <c r="M247" s="602"/>
      <c r="N247" s="603"/>
      <c r="O247" s="604"/>
      <c r="P247" s="605"/>
      <c r="Q247" s="679"/>
      <c r="R247" s="596"/>
      <c r="S247" s="598">
        <f t="shared" si="34"/>
        <v>0</v>
      </c>
      <c r="T247" s="572"/>
      <c r="U247" s="607"/>
      <c r="V247" s="607"/>
      <c r="W247" s="607"/>
      <c r="X247" s="607"/>
      <c r="Y247" s="585"/>
      <c r="Z247" s="585"/>
    </row>
    <row r="248" spans="1:26">
      <c r="A248" s="592" t="s">
        <v>728</v>
      </c>
      <c r="B248" s="702" t="s">
        <v>729</v>
      </c>
      <c r="C248" s="593">
        <v>239</v>
      </c>
      <c r="D248" s="594" t="str">
        <f t="shared" ref="D248:D258" si="38">A248&amp;"."&amp;B248</f>
        <v>2340.[000,001]</v>
      </c>
      <c r="E248" s="703" t="s">
        <v>730</v>
      </c>
      <c r="F248" s="596">
        <v>-1402673.36</v>
      </c>
      <c r="G248" s="678">
        <v>-1464534.48</v>
      </c>
      <c r="H248" s="598">
        <v>-1369348.79</v>
      </c>
      <c r="I248" s="598">
        <v>-1023239.36</v>
      </c>
      <c r="J248" s="599">
        <v>-717549.77</v>
      </c>
      <c r="K248" s="600">
        <v>-1269623.98</v>
      </c>
      <c r="L248" s="601">
        <v>-1166708.32</v>
      </c>
      <c r="M248" s="602">
        <v>-995927.74</v>
      </c>
      <c r="N248" s="603">
        <v>-1394534.21</v>
      </c>
      <c r="O248" s="604">
        <v>-1382782.44</v>
      </c>
      <c r="P248" s="605">
        <v>-1355123.03</v>
      </c>
      <c r="Q248" s="679">
        <v>-1250012.98</v>
      </c>
      <c r="R248" s="596">
        <v>-1360877.86</v>
      </c>
      <c r="S248" s="598">
        <f t="shared" si="34"/>
        <v>-1230930.0591666668</v>
      </c>
      <c r="T248" s="572"/>
      <c r="U248" s="607"/>
      <c r="V248" s="607"/>
      <c r="W248" s="607"/>
      <c r="X248" s="607"/>
      <c r="Y248" s="585"/>
      <c r="Z248" s="585"/>
    </row>
    <row r="249" spans="1:26">
      <c r="A249" s="592" t="s">
        <v>728</v>
      </c>
      <c r="B249" s="702" t="s">
        <v>731</v>
      </c>
      <c r="C249" s="593">
        <v>240</v>
      </c>
      <c r="D249" s="594" t="str">
        <f t="shared" si="38"/>
        <v>2340.005</v>
      </c>
      <c r="E249" s="650" t="s">
        <v>732</v>
      </c>
      <c r="F249" s="596">
        <v>-53</v>
      </c>
      <c r="G249" s="678">
        <v>-69984.800000000003</v>
      </c>
      <c r="H249" s="598">
        <v>-1668.96000000001</v>
      </c>
      <c r="I249" s="598">
        <v>-20311.650000000001</v>
      </c>
      <c r="J249" s="599">
        <v>-16.1500000000051</v>
      </c>
      <c r="K249" s="600">
        <v>-166.51000000000499</v>
      </c>
      <c r="L249" s="601">
        <v>-36005.4</v>
      </c>
      <c r="M249" s="602">
        <v>-200</v>
      </c>
      <c r="N249" s="603">
        <v>-1627.61</v>
      </c>
      <c r="O249" s="604">
        <v>-37814.57</v>
      </c>
      <c r="P249" s="605">
        <v>-10.75</v>
      </c>
      <c r="Q249" s="679">
        <v>-169061.22</v>
      </c>
      <c r="R249" s="596">
        <v>-13112.75</v>
      </c>
      <c r="S249" s="598">
        <f t="shared" si="34"/>
        <v>-28620.874583333334</v>
      </c>
      <c r="T249" s="572"/>
      <c r="U249" s="607"/>
      <c r="V249" s="607"/>
      <c r="W249" s="607"/>
      <c r="X249" s="607"/>
      <c r="Y249" s="585"/>
      <c r="Z249" s="585"/>
    </row>
    <row r="250" spans="1:26">
      <c r="A250" s="592" t="s">
        <v>728</v>
      </c>
      <c r="B250" s="702" t="s">
        <v>733</v>
      </c>
      <c r="C250" s="593">
        <v>241</v>
      </c>
      <c r="D250" s="594" t="str">
        <f t="shared" si="38"/>
        <v>2340.008</v>
      </c>
      <c r="E250" s="650" t="s">
        <v>734</v>
      </c>
      <c r="F250" s="596">
        <v>-4.5474735088646402E-13</v>
      </c>
      <c r="G250" s="678">
        <v>0</v>
      </c>
      <c r="H250" s="598">
        <v>0</v>
      </c>
      <c r="I250" s="598">
        <v>0</v>
      </c>
      <c r="J250" s="599">
        <v>0</v>
      </c>
      <c r="K250" s="600">
        <v>-1848.77</v>
      </c>
      <c r="L250" s="601">
        <v>-660</v>
      </c>
      <c r="M250" s="602">
        <v>0</v>
      </c>
      <c r="N250" s="603">
        <v>-68.540000000000006</v>
      </c>
      <c r="O250" s="604">
        <v>-11829.4</v>
      </c>
      <c r="P250" s="605">
        <v>-8160</v>
      </c>
      <c r="Q250" s="679">
        <v>-1.8189894035458601E-12</v>
      </c>
      <c r="R250" s="596">
        <v>-1.8189894035458601E-12</v>
      </c>
      <c r="S250" s="598">
        <f t="shared" si="34"/>
        <v>-1880.5591666666667</v>
      </c>
      <c r="T250" s="572"/>
      <c r="U250" s="607"/>
      <c r="V250" s="607"/>
      <c r="W250" s="607"/>
      <c r="X250" s="607"/>
      <c r="Y250" s="585"/>
      <c r="Z250" s="585"/>
    </row>
    <row r="251" spans="1:26">
      <c r="A251" s="592" t="s">
        <v>728</v>
      </c>
      <c r="B251" s="702" t="s">
        <v>735</v>
      </c>
      <c r="C251" s="593">
        <v>242</v>
      </c>
      <c r="D251" s="594" t="str">
        <f t="shared" si="38"/>
        <v>2340.0620</v>
      </c>
      <c r="E251" s="703" t="s">
        <v>736</v>
      </c>
      <c r="F251" s="596">
        <v>-7399.48</v>
      </c>
      <c r="G251" s="678">
        <v>-306.61</v>
      </c>
      <c r="H251" s="598">
        <v>-386.41</v>
      </c>
      <c r="I251" s="598">
        <v>-1679.64</v>
      </c>
      <c r="J251" s="599">
        <v>4.5474735088646402E-13</v>
      </c>
      <c r="K251" s="600">
        <v>-1189.6500000000001</v>
      </c>
      <c r="L251" s="601">
        <v>4.5474735088646402E-13</v>
      </c>
      <c r="M251" s="602">
        <v>-562.83000000000004</v>
      </c>
      <c r="N251" s="603">
        <v>4.5474735088646402E-13</v>
      </c>
      <c r="O251" s="604">
        <v>-1156.43</v>
      </c>
      <c r="P251" s="605">
        <v>4.5474735088646402E-13</v>
      </c>
      <c r="Q251" s="679">
        <v>-1869.12</v>
      </c>
      <c r="R251" s="596">
        <v>4.5474735088646402E-13</v>
      </c>
      <c r="S251" s="598">
        <f t="shared" si="34"/>
        <v>-904.20249999999999</v>
      </c>
      <c r="T251" s="572"/>
      <c r="U251" s="607"/>
      <c r="V251" s="607"/>
      <c r="W251" s="607"/>
      <c r="X251" s="607"/>
      <c r="Y251" s="585"/>
      <c r="Z251" s="585"/>
    </row>
    <row r="252" spans="1:26">
      <c r="A252" s="592" t="s">
        <v>728</v>
      </c>
      <c r="B252" s="702" t="s">
        <v>737</v>
      </c>
      <c r="C252" s="593">
        <v>243</v>
      </c>
      <c r="D252" s="594" t="str">
        <f t="shared" si="38"/>
        <v>2340.0670</v>
      </c>
      <c r="E252" s="703" t="s">
        <v>738</v>
      </c>
      <c r="F252" s="596">
        <v>0</v>
      </c>
      <c r="G252" s="678">
        <v>-6479.78</v>
      </c>
      <c r="H252" s="598">
        <v>-6479.78</v>
      </c>
      <c r="I252" s="598">
        <v>-6479.78</v>
      </c>
      <c r="J252" s="599">
        <v>-6479.78</v>
      </c>
      <c r="K252" s="600">
        <v>-6479.78</v>
      </c>
      <c r="L252" s="601">
        <v>0</v>
      </c>
      <c r="M252" s="602">
        <v>0</v>
      </c>
      <c r="N252" s="603">
        <v>0</v>
      </c>
      <c r="O252" s="679">
        <v>0</v>
      </c>
      <c r="P252" s="679">
        <v>0</v>
      </c>
      <c r="Q252" s="679">
        <v>0</v>
      </c>
      <c r="R252" s="596">
        <v>0</v>
      </c>
      <c r="S252" s="598">
        <f t="shared" si="34"/>
        <v>-2699.9083333333333</v>
      </c>
      <c r="T252" s="572"/>
      <c r="U252" s="607"/>
      <c r="V252" s="607"/>
      <c r="W252" s="607"/>
      <c r="X252" s="607"/>
      <c r="Y252" s="585"/>
      <c r="Z252" s="585"/>
    </row>
    <row r="253" spans="1:26">
      <c r="A253" s="592" t="s">
        <v>728</v>
      </c>
      <c r="B253" s="702" t="s">
        <v>739</v>
      </c>
      <c r="C253" s="593">
        <v>244</v>
      </c>
      <c r="D253" s="594" t="str">
        <f t="shared" si="38"/>
        <v>2340.043</v>
      </c>
      <c r="E253" s="703" t="s">
        <v>740</v>
      </c>
      <c r="F253" s="596">
        <v>0</v>
      </c>
      <c r="G253" s="678">
        <v>0</v>
      </c>
      <c r="H253" s="598">
        <v>0</v>
      </c>
      <c r="I253" s="598">
        <v>0</v>
      </c>
      <c r="J253" s="599">
        <v>0</v>
      </c>
      <c r="K253" s="600">
        <v>0</v>
      </c>
      <c r="L253" s="601">
        <v>0</v>
      </c>
      <c r="M253" s="602">
        <v>0</v>
      </c>
      <c r="N253" s="603">
        <v>0</v>
      </c>
      <c r="O253" s="604">
        <v>0</v>
      </c>
      <c r="P253" s="605">
        <v>0</v>
      </c>
      <c r="Q253" s="679">
        <v>0</v>
      </c>
      <c r="R253" s="596">
        <v>0</v>
      </c>
      <c r="S253" s="598">
        <f t="shared" si="34"/>
        <v>0</v>
      </c>
      <c r="T253" s="572"/>
      <c r="U253" s="607"/>
      <c r="V253" s="607"/>
      <c r="W253" s="607"/>
      <c r="X253" s="607"/>
      <c r="Y253" s="585"/>
      <c r="Z253" s="585"/>
    </row>
    <row r="254" spans="1:26">
      <c r="A254" s="592" t="s">
        <v>728</v>
      </c>
      <c r="B254" s="702" t="s">
        <v>741</v>
      </c>
      <c r="C254" s="593">
        <v>245</v>
      </c>
      <c r="D254" s="594" t="str">
        <f t="shared" si="38"/>
        <v>2340.044</v>
      </c>
      <c r="E254" s="650" t="s">
        <v>742</v>
      </c>
      <c r="F254" s="596">
        <v>0</v>
      </c>
      <c r="G254" s="678">
        <v>0</v>
      </c>
      <c r="H254" s="598">
        <v>0</v>
      </c>
      <c r="I254" s="598">
        <v>0</v>
      </c>
      <c r="J254" s="599">
        <v>0</v>
      </c>
      <c r="K254" s="600">
        <v>0</v>
      </c>
      <c r="L254" s="601">
        <v>0</v>
      </c>
      <c r="M254" s="602">
        <v>0</v>
      </c>
      <c r="N254" s="603">
        <v>0</v>
      </c>
      <c r="O254" s="604">
        <v>0</v>
      </c>
      <c r="P254" s="605">
        <v>0</v>
      </c>
      <c r="Q254" s="679">
        <v>0</v>
      </c>
      <c r="R254" s="596">
        <v>0</v>
      </c>
      <c r="S254" s="598">
        <f t="shared" si="34"/>
        <v>0</v>
      </c>
      <c r="T254" s="572"/>
      <c r="U254" s="607"/>
      <c r="V254" s="607"/>
      <c r="W254" s="607"/>
      <c r="X254" s="607"/>
      <c r="Y254" s="585"/>
      <c r="Z254" s="585"/>
    </row>
    <row r="255" spans="1:26">
      <c r="A255" s="592" t="s">
        <v>728</v>
      </c>
      <c r="B255" s="702" t="s">
        <v>712</v>
      </c>
      <c r="C255" s="593">
        <v>246</v>
      </c>
      <c r="D255" s="594" t="str">
        <f t="shared" si="38"/>
        <v>2340.045</v>
      </c>
      <c r="E255" s="592" t="s">
        <v>743</v>
      </c>
      <c r="F255" s="596">
        <v>0</v>
      </c>
      <c r="G255" s="678">
        <v>0</v>
      </c>
      <c r="H255" s="598">
        <v>0</v>
      </c>
      <c r="I255" s="598">
        <v>0</v>
      </c>
      <c r="J255" s="599">
        <v>0</v>
      </c>
      <c r="K255" s="600">
        <v>0</v>
      </c>
      <c r="L255" s="601">
        <v>0</v>
      </c>
      <c r="M255" s="602">
        <v>0</v>
      </c>
      <c r="N255" s="603">
        <v>0</v>
      </c>
      <c r="O255" s="604">
        <v>0</v>
      </c>
      <c r="P255" s="605">
        <v>0</v>
      </c>
      <c r="Q255" s="679">
        <v>0</v>
      </c>
      <c r="R255" s="596">
        <v>0</v>
      </c>
      <c r="S255" s="598">
        <f t="shared" si="34"/>
        <v>0</v>
      </c>
      <c r="T255" s="572"/>
      <c r="U255" s="607"/>
      <c r="V255" s="607"/>
      <c r="W255" s="607"/>
      <c r="X255" s="607"/>
      <c r="Y255" s="585"/>
      <c r="Z255" s="585"/>
    </row>
    <row r="256" spans="1:26">
      <c r="A256" s="592" t="s">
        <v>728</v>
      </c>
      <c r="B256" s="592" t="s">
        <v>744</v>
      </c>
      <c r="C256" s="593">
        <v>247</v>
      </c>
      <c r="D256" s="594" t="str">
        <f t="shared" si="38"/>
        <v>2340.046</v>
      </c>
      <c r="E256" s="650" t="s">
        <v>745</v>
      </c>
      <c r="F256" s="596">
        <v>0</v>
      </c>
      <c r="G256" s="678">
        <v>0</v>
      </c>
      <c r="H256" s="598">
        <v>0</v>
      </c>
      <c r="I256" s="598">
        <v>0</v>
      </c>
      <c r="J256" s="599">
        <v>0</v>
      </c>
      <c r="K256" s="600">
        <v>0</v>
      </c>
      <c r="L256" s="601">
        <v>0</v>
      </c>
      <c r="M256" s="602">
        <v>0</v>
      </c>
      <c r="N256" s="603">
        <v>0</v>
      </c>
      <c r="O256" s="604">
        <v>0</v>
      </c>
      <c r="P256" s="605">
        <v>0</v>
      </c>
      <c r="Q256" s="679">
        <v>0</v>
      </c>
      <c r="R256" s="596">
        <v>0</v>
      </c>
      <c r="S256" s="598">
        <f t="shared" si="34"/>
        <v>0</v>
      </c>
      <c r="T256" s="572"/>
      <c r="U256" s="607"/>
      <c r="V256" s="607"/>
      <c r="W256" s="607"/>
      <c r="X256" s="607"/>
      <c r="Y256" s="585"/>
      <c r="Z256" s="585"/>
    </row>
    <row r="257" spans="1:26">
      <c r="A257" s="568" t="s">
        <v>728</v>
      </c>
      <c r="B257" s="568" t="s">
        <v>746</v>
      </c>
      <c r="C257" s="593">
        <v>248</v>
      </c>
      <c r="D257" s="570" t="str">
        <f t="shared" si="38"/>
        <v>2340.047</v>
      </c>
      <c r="E257" s="650" t="s">
        <v>747</v>
      </c>
      <c r="F257" s="596">
        <v>0</v>
      </c>
      <c r="G257" s="678">
        <v>0</v>
      </c>
      <c r="H257" s="598">
        <v>0</v>
      </c>
      <c r="I257" s="598">
        <v>0</v>
      </c>
      <c r="J257" s="599">
        <v>0</v>
      </c>
      <c r="K257" s="600">
        <v>0</v>
      </c>
      <c r="L257" s="601">
        <v>0</v>
      </c>
      <c r="M257" s="602">
        <v>0</v>
      </c>
      <c r="N257" s="603">
        <v>0</v>
      </c>
      <c r="O257" s="604">
        <v>0</v>
      </c>
      <c r="P257" s="605">
        <v>0</v>
      </c>
      <c r="Q257" s="679">
        <v>0</v>
      </c>
      <c r="R257" s="596">
        <v>0</v>
      </c>
      <c r="S257" s="598">
        <f t="shared" si="34"/>
        <v>0</v>
      </c>
      <c r="T257" s="572"/>
      <c r="U257" s="607"/>
      <c r="V257" s="607"/>
      <c r="W257" s="607"/>
      <c r="X257" s="607"/>
      <c r="Y257" s="585"/>
      <c r="Z257" s="585"/>
    </row>
    <row r="258" spans="1:26">
      <c r="A258" s="592" t="s">
        <v>728</v>
      </c>
      <c r="B258" s="592" t="s">
        <v>748</v>
      </c>
      <c r="C258" s="593">
        <v>249</v>
      </c>
      <c r="D258" s="594" t="str">
        <f t="shared" si="38"/>
        <v>2340.048</v>
      </c>
      <c r="E258" s="650" t="s">
        <v>749</v>
      </c>
      <c r="F258" s="596">
        <v>-204518.47</v>
      </c>
      <c r="G258" s="678">
        <v>-202024.22</v>
      </c>
      <c r="H258" s="598">
        <v>-217632.66</v>
      </c>
      <c r="I258" s="598">
        <v>-170887.72</v>
      </c>
      <c r="J258" s="599">
        <v>-373661.5</v>
      </c>
      <c r="K258" s="600">
        <v>-197038.37</v>
      </c>
      <c r="L258" s="601">
        <v>-245944.09</v>
      </c>
      <c r="M258" s="602">
        <v>-440497.85</v>
      </c>
      <c r="N258" s="603">
        <v>-217565.91</v>
      </c>
      <c r="O258" s="604">
        <v>-203928.55</v>
      </c>
      <c r="P258" s="605">
        <v>-170616.66</v>
      </c>
      <c r="Q258" s="679">
        <v>-205381.4</v>
      </c>
      <c r="R258" s="596">
        <v>-232776.9</v>
      </c>
      <c r="S258" s="598">
        <f t="shared" si="34"/>
        <v>-238652.21791666668</v>
      </c>
      <c r="T258" s="572"/>
      <c r="U258" s="607"/>
      <c r="V258" s="607"/>
      <c r="W258" s="607"/>
      <c r="X258" s="607"/>
      <c r="Y258" s="585"/>
      <c r="Z258" s="585"/>
    </row>
    <row r="259" spans="1:26">
      <c r="A259" s="592"/>
      <c r="B259" s="592"/>
      <c r="C259" s="593">
        <v>250</v>
      </c>
      <c r="D259" s="594"/>
      <c r="E259" s="650" t="s">
        <v>750</v>
      </c>
      <c r="F259" s="620">
        <f>SUM(F248:F258)</f>
        <v>-1614644.31</v>
      </c>
      <c r="G259" s="620">
        <f t="shared" ref="G259:S259" si="39">SUM(G248:G258)</f>
        <v>-1743329.8900000001</v>
      </c>
      <c r="H259" s="620">
        <f t="shared" si="39"/>
        <v>-1595516.5999999999</v>
      </c>
      <c r="I259" s="620">
        <f t="shared" si="39"/>
        <v>-1222598.1499999999</v>
      </c>
      <c r="J259" s="620">
        <f t="shared" si="39"/>
        <v>-1097707.2000000002</v>
      </c>
      <c r="K259" s="620">
        <f t="shared" si="39"/>
        <v>-1476347.06</v>
      </c>
      <c r="L259" s="620">
        <f t="shared" si="39"/>
        <v>-1449317.81</v>
      </c>
      <c r="M259" s="620">
        <f t="shared" si="39"/>
        <v>-1437188.42</v>
      </c>
      <c r="N259" s="620">
        <f t="shared" si="39"/>
        <v>-1613796.27</v>
      </c>
      <c r="O259" s="620">
        <f t="shared" si="39"/>
        <v>-1637511.39</v>
      </c>
      <c r="P259" s="620">
        <f t="shared" si="39"/>
        <v>-1533910.44</v>
      </c>
      <c r="Q259" s="620">
        <f t="shared" si="39"/>
        <v>-1626324.72</v>
      </c>
      <c r="R259" s="620">
        <f t="shared" si="39"/>
        <v>-1606767.51</v>
      </c>
      <c r="S259" s="620">
        <f t="shared" si="39"/>
        <v>-1503687.8216666668</v>
      </c>
      <c r="T259" s="572"/>
      <c r="U259" s="607"/>
      <c r="V259" s="607"/>
      <c r="W259" s="608">
        <f>S259</f>
        <v>-1503687.8216666668</v>
      </c>
      <c r="X259" s="607"/>
      <c r="Y259" s="585"/>
      <c r="Z259" s="585"/>
    </row>
    <row r="260" spans="1:26">
      <c r="A260" s="592"/>
      <c r="B260" s="592"/>
      <c r="C260" s="593">
        <v>251</v>
      </c>
      <c r="D260" s="594"/>
      <c r="E260" s="650"/>
      <c r="F260" s="596"/>
      <c r="G260" s="678"/>
      <c r="H260" s="598"/>
      <c r="I260" s="598"/>
      <c r="J260" s="599"/>
      <c r="K260" s="600"/>
      <c r="L260" s="601"/>
      <c r="M260" s="602"/>
      <c r="N260" s="603"/>
      <c r="O260" s="604"/>
      <c r="P260" s="605"/>
      <c r="Q260" s="679"/>
      <c r="R260" s="596"/>
      <c r="S260" s="598">
        <f t="shared" si="34"/>
        <v>0</v>
      </c>
      <c r="T260" s="572"/>
      <c r="U260" s="607"/>
      <c r="V260" s="607"/>
      <c r="W260" s="607"/>
      <c r="X260" s="607"/>
      <c r="Y260" s="585"/>
      <c r="Z260" s="585"/>
    </row>
    <row r="261" spans="1:26">
      <c r="A261" s="693" t="s">
        <v>751</v>
      </c>
      <c r="B261" s="592" t="s">
        <v>398</v>
      </c>
      <c r="C261" s="593">
        <v>252</v>
      </c>
      <c r="D261" s="693" t="str">
        <f>+A261</f>
        <v>2412</v>
      </c>
      <c r="E261" s="650" t="s">
        <v>752</v>
      </c>
      <c r="F261" s="596">
        <v>0</v>
      </c>
      <c r="G261" s="678">
        <v>0</v>
      </c>
      <c r="H261" s="598">
        <v>0</v>
      </c>
      <c r="I261" s="598">
        <v>0</v>
      </c>
      <c r="J261" s="599">
        <v>0</v>
      </c>
      <c r="K261" s="600">
        <v>-699.14</v>
      </c>
      <c r="L261" s="601">
        <v>0</v>
      </c>
      <c r="M261" s="602">
        <v>0</v>
      </c>
      <c r="N261" s="603">
        <v>0</v>
      </c>
      <c r="O261" s="604">
        <v>-77.599999999999994</v>
      </c>
      <c r="P261" s="605">
        <v>0</v>
      </c>
      <c r="Q261" s="679">
        <v>-53.98</v>
      </c>
      <c r="R261" s="596">
        <v>-754.83</v>
      </c>
      <c r="S261" s="598">
        <f t="shared" si="34"/>
        <v>-100.67791666666666</v>
      </c>
      <c r="T261" s="572"/>
      <c r="U261" s="607"/>
      <c r="V261" s="607"/>
      <c r="W261" s="607"/>
      <c r="X261" s="607"/>
      <c r="Y261" s="585"/>
      <c r="Z261" s="585"/>
    </row>
    <row r="262" spans="1:26">
      <c r="A262" s="592" t="s">
        <v>753</v>
      </c>
      <c r="B262" s="592" t="s">
        <v>398</v>
      </c>
      <c r="C262" s="593">
        <v>253</v>
      </c>
      <c r="D262" s="592" t="str">
        <f>+A262</f>
        <v>2411</v>
      </c>
      <c r="E262" s="650" t="s">
        <v>754</v>
      </c>
      <c r="F262" s="596">
        <v>1.1823431123048099E-11</v>
      </c>
      <c r="G262" s="678">
        <v>0</v>
      </c>
      <c r="H262" s="598">
        <v>-695.44</v>
      </c>
      <c r="I262" s="598">
        <v>0</v>
      </c>
      <c r="J262" s="599">
        <v>0</v>
      </c>
      <c r="K262" s="600">
        <v>-2601</v>
      </c>
      <c r="L262" s="601">
        <v>0</v>
      </c>
      <c r="M262" s="602">
        <v>379.49</v>
      </c>
      <c r="N262" s="603">
        <v>0</v>
      </c>
      <c r="O262" s="604">
        <v>-217.41</v>
      </c>
      <c r="P262" s="605">
        <v>-137.08000000000001</v>
      </c>
      <c r="Q262" s="679">
        <v>-351.9</v>
      </c>
      <c r="R262" s="596">
        <v>-2787.11</v>
      </c>
      <c r="S262" s="598">
        <f t="shared" si="34"/>
        <v>-418.07458333333284</v>
      </c>
      <c r="T262" s="572"/>
      <c r="U262" s="607"/>
      <c r="V262" s="607"/>
      <c r="W262" s="607"/>
      <c r="X262" s="607"/>
      <c r="Y262" s="585"/>
      <c r="Z262" s="585"/>
    </row>
    <row r="263" spans="1:26">
      <c r="A263" s="693" t="s">
        <v>755</v>
      </c>
      <c r="B263" s="592" t="s">
        <v>398</v>
      </c>
      <c r="C263" s="593">
        <v>254</v>
      </c>
      <c r="D263" s="694" t="s">
        <v>756</v>
      </c>
      <c r="E263" s="650" t="s">
        <v>757</v>
      </c>
      <c r="F263" s="596">
        <v>0</v>
      </c>
      <c r="G263" s="678">
        <v>0</v>
      </c>
      <c r="H263" s="598">
        <v>0</v>
      </c>
      <c r="I263" s="598">
        <v>0</v>
      </c>
      <c r="J263" s="599">
        <v>0</v>
      </c>
      <c r="K263" s="600">
        <v>0</v>
      </c>
      <c r="L263" s="601">
        <v>0</v>
      </c>
      <c r="M263" s="602">
        <v>0</v>
      </c>
      <c r="N263" s="603">
        <v>0</v>
      </c>
      <c r="O263" s="604">
        <v>0</v>
      </c>
      <c r="P263" s="605">
        <v>0</v>
      </c>
      <c r="Q263" s="679">
        <v>0</v>
      </c>
      <c r="R263" s="596">
        <v>0</v>
      </c>
      <c r="S263" s="598">
        <f t="shared" si="34"/>
        <v>0</v>
      </c>
      <c r="T263" s="572"/>
      <c r="U263" s="607"/>
      <c r="V263" s="607"/>
      <c r="W263" s="607"/>
      <c r="X263" s="607"/>
      <c r="Y263" s="585"/>
      <c r="Z263" s="585"/>
    </row>
    <row r="264" spans="1:26">
      <c r="A264" s="592"/>
      <c r="B264" s="592"/>
      <c r="C264" s="593">
        <v>255</v>
      </c>
      <c r="D264" s="594"/>
      <c r="E264" s="650" t="s">
        <v>758</v>
      </c>
      <c r="F264" s="620">
        <f>SUM(F261:F263)</f>
        <v>1.1823431123048099E-11</v>
      </c>
      <c r="G264" s="620">
        <f t="shared" ref="G264:S264" si="40">SUM(G261:G263)</f>
        <v>0</v>
      </c>
      <c r="H264" s="620">
        <f t="shared" si="40"/>
        <v>-695.44</v>
      </c>
      <c r="I264" s="620">
        <f t="shared" si="40"/>
        <v>0</v>
      </c>
      <c r="J264" s="620">
        <f t="shared" si="40"/>
        <v>0</v>
      </c>
      <c r="K264" s="620">
        <f t="shared" si="40"/>
        <v>-3300.14</v>
      </c>
      <c r="L264" s="620">
        <f t="shared" si="40"/>
        <v>0</v>
      </c>
      <c r="M264" s="620">
        <f t="shared" si="40"/>
        <v>379.49</v>
      </c>
      <c r="N264" s="620">
        <f t="shared" si="40"/>
        <v>0</v>
      </c>
      <c r="O264" s="620">
        <f t="shared" si="40"/>
        <v>-295.01</v>
      </c>
      <c r="P264" s="620">
        <f t="shared" si="40"/>
        <v>-137.08000000000001</v>
      </c>
      <c r="Q264" s="620">
        <f t="shared" si="40"/>
        <v>-405.88</v>
      </c>
      <c r="R264" s="620">
        <f t="shared" si="40"/>
        <v>-3541.94</v>
      </c>
      <c r="S264" s="620">
        <f t="shared" si="40"/>
        <v>-518.75249999999949</v>
      </c>
      <c r="T264" s="572"/>
      <c r="U264" s="607"/>
      <c r="V264" s="607"/>
      <c r="W264" s="607"/>
      <c r="X264" s="608">
        <f>S264</f>
        <v>-518.75249999999949</v>
      </c>
      <c r="Y264" s="585"/>
      <c r="Z264" s="585"/>
    </row>
    <row r="265" spans="1:26">
      <c r="A265" s="592"/>
      <c r="B265" s="592"/>
      <c r="C265" s="593">
        <v>256</v>
      </c>
      <c r="D265" s="594"/>
      <c r="E265" s="650"/>
      <c r="F265" s="596"/>
      <c r="G265" s="678"/>
      <c r="H265" s="598"/>
      <c r="I265" s="598"/>
      <c r="J265" s="599"/>
      <c r="K265" s="600"/>
      <c r="L265" s="601"/>
      <c r="M265" s="602"/>
      <c r="N265" s="603"/>
      <c r="O265" s="604"/>
      <c r="P265" s="605"/>
      <c r="Q265" s="679"/>
      <c r="R265" s="596"/>
      <c r="S265" s="598">
        <f t="shared" si="34"/>
        <v>0</v>
      </c>
      <c r="T265" s="572"/>
      <c r="U265" s="607"/>
      <c r="V265" s="607"/>
      <c r="W265" s="607"/>
      <c r="X265" s="607"/>
      <c r="Y265" s="585"/>
      <c r="Z265" s="585"/>
    </row>
    <row r="266" spans="1:26">
      <c r="A266" s="592"/>
      <c r="B266" s="592"/>
      <c r="C266" s="593">
        <v>257</v>
      </c>
      <c r="D266" s="594"/>
      <c r="E266" s="650" t="s">
        <v>759</v>
      </c>
      <c r="F266" s="620">
        <f>SUM(F236:F246)+F259+F264</f>
        <v>-22633842.149999999</v>
      </c>
      <c r="G266" s="620">
        <f t="shared" ref="G266:S266" si="41">SUM(G236:G246)+G259+G264</f>
        <v>-22151150.93</v>
      </c>
      <c r="H266" s="620">
        <f t="shared" si="41"/>
        <v>-16087153.319999998</v>
      </c>
      <c r="I266" s="620">
        <f t="shared" si="41"/>
        <v>-14740573.209999999</v>
      </c>
      <c r="J266" s="620">
        <f t="shared" si="41"/>
        <v>-12570599.280000001</v>
      </c>
      <c r="K266" s="620">
        <f t="shared" si="41"/>
        <v>-11859772.060000002</v>
      </c>
      <c r="L266" s="620">
        <f t="shared" si="41"/>
        <v>-10102244.73</v>
      </c>
      <c r="M266" s="620">
        <f t="shared" si="41"/>
        <v>-10622401.389999999</v>
      </c>
      <c r="N266" s="620">
        <f t="shared" si="41"/>
        <v>-12616861.839999998</v>
      </c>
      <c r="O266" s="620">
        <f t="shared" si="41"/>
        <v>-13512792.73</v>
      </c>
      <c r="P266" s="620">
        <f t="shared" si="41"/>
        <v>-13271836.649999999</v>
      </c>
      <c r="Q266" s="620">
        <f t="shared" si="41"/>
        <v>-18377533.939999998</v>
      </c>
      <c r="R266" s="620">
        <f t="shared" si="41"/>
        <v>-30373320.170000006</v>
      </c>
      <c r="S266" s="620">
        <f t="shared" si="41"/>
        <v>-15201375.103333334</v>
      </c>
      <c r="T266" s="572"/>
      <c r="U266" s="607"/>
      <c r="V266" s="607"/>
      <c r="W266" s="607"/>
      <c r="X266" s="607"/>
      <c r="Y266" s="585"/>
      <c r="Z266" s="585"/>
    </row>
    <row r="267" spans="1:26">
      <c r="A267" s="592"/>
      <c r="B267" s="592"/>
      <c r="C267" s="593">
        <v>258</v>
      </c>
      <c r="D267" s="594"/>
      <c r="E267" s="650"/>
      <c r="F267" s="596"/>
      <c r="G267" s="678"/>
      <c r="H267" s="598"/>
      <c r="I267" s="598"/>
      <c r="J267" s="599"/>
      <c r="K267" s="600"/>
      <c r="L267" s="601"/>
      <c r="M267" s="602"/>
      <c r="N267" s="603"/>
      <c r="O267" s="604"/>
      <c r="P267" s="605"/>
      <c r="Q267" s="679"/>
      <c r="R267" s="596"/>
      <c r="S267" s="598">
        <f t="shared" si="34"/>
        <v>0</v>
      </c>
      <c r="T267" s="572"/>
      <c r="U267" s="607"/>
      <c r="V267" s="607"/>
      <c r="W267" s="607"/>
      <c r="X267" s="607"/>
      <c r="Y267" s="585"/>
      <c r="Z267" s="585"/>
    </row>
    <row r="268" spans="1:26">
      <c r="A268" s="693" t="s">
        <v>760</v>
      </c>
      <c r="B268" s="592" t="s">
        <v>398</v>
      </c>
      <c r="C268" s="593">
        <v>259</v>
      </c>
      <c r="D268" s="592" t="str">
        <f>+A268</f>
        <v>2360</v>
      </c>
      <c r="E268" s="650" t="s">
        <v>761</v>
      </c>
      <c r="F268" s="596">
        <v>0</v>
      </c>
      <c r="G268" s="678">
        <v>0</v>
      </c>
      <c r="H268" s="598">
        <v>0</v>
      </c>
      <c r="I268" s="598">
        <v>0</v>
      </c>
      <c r="J268" s="599">
        <v>0</v>
      </c>
      <c r="K268" s="600">
        <v>0</v>
      </c>
      <c r="L268" s="601">
        <v>0</v>
      </c>
      <c r="M268" s="602">
        <v>0</v>
      </c>
      <c r="N268" s="603">
        <v>0</v>
      </c>
      <c r="O268" s="604">
        <v>0</v>
      </c>
      <c r="P268" s="605">
        <v>0</v>
      </c>
      <c r="Q268" s="679">
        <v>0</v>
      </c>
      <c r="R268" s="596">
        <v>0</v>
      </c>
      <c r="S268" s="598">
        <f t="shared" ref="S268:S331" si="42">((F268+R268)+((G268+H268+I268+J268+K268+L268+M268+N268+O268+P268+Q268)*2))/24</f>
        <v>0</v>
      </c>
      <c r="T268" s="572"/>
      <c r="U268" s="607"/>
      <c r="V268" s="607"/>
      <c r="W268" s="607"/>
      <c r="X268" s="607"/>
      <c r="Y268" s="585"/>
      <c r="Z268" s="585"/>
    </row>
    <row r="269" spans="1:26">
      <c r="A269" s="592" t="s">
        <v>762</v>
      </c>
      <c r="B269" s="592" t="s">
        <v>763</v>
      </c>
      <c r="C269" s="593">
        <v>260</v>
      </c>
      <c r="D269" s="594" t="str">
        <f>A269&amp;"."&amp;B269</f>
        <v>2361.[*,/42]</v>
      </c>
      <c r="E269" s="650" t="s">
        <v>761</v>
      </c>
      <c r="F269" s="596">
        <v>-3146070.65</v>
      </c>
      <c r="G269" s="678">
        <v>-5705128.3399999999</v>
      </c>
      <c r="H269" s="598">
        <v>-7218842.3799999999</v>
      </c>
      <c r="I269" s="598">
        <v>-8753908.4600000009</v>
      </c>
      <c r="J269" s="599">
        <v>-7336181.04</v>
      </c>
      <c r="K269" s="600">
        <v>-6717155.0099999998</v>
      </c>
      <c r="L269" s="601">
        <v>-4016331.79</v>
      </c>
      <c r="M269" s="602">
        <v>-3363136.22</v>
      </c>
      <c r="N269" s="603">
        <v>-2384259.7599999998</v>
      </c>
      <c r="O269" s="604">
        <v>-9.3132257461547893E-10</v>
      </c>
      <c r="P269" s="605">
        <v>-9.3132257461547893E-10</v>
      </c>
      <c r="Q269" s="679">
        <v>-9.3132257461547893E-10</v>
      </c>
      <c r="R269" s="596">
        <v>-1288737.78</v>
      </c>
      <c r="S269" s="598">
        <f t="shared" si="42"/>
        <v>-3976028.9345833324</v>
      </c>
      <c r="T269" s="572"/>
      <c r="U269" s="607"/>
      <c r="V269" s="607"/>
      <c r="W269" s="607"/>
      <c r="X269" s="608">
        <f>S269</f>
        <v>-3976028.9345833324</v>
      </c>
      <c r="Y269" s="585"/>
      <c r="Z269" s="585"/>
    </row>
    <row r="270" spans="1:26">
      <c r="A270" s="693" t="s">
        <v>762</v>
      </c>
      <c r="B270" s="592" t="s">
        <v>764</v>
      </c>
      <c r="C270" s="593">
        <v>261</v>
      </c>
      <c r="D270" s="594" t="str">
        <f>A270&amp;"."&amp;B270</f>
        <v>2361.[42*]</v>
      </c>
      <c r="E270" s="592" t="s">
        <v>765</v>
      </c>
      <c r="F270" s="596">
        <v>0</v>
      </c>
      <c r="G270" s="678">
        <v>0</v>
      </c>
      <c r="H270" s="598">
        <v>0</v>
      </c>
      <c r="I270" s="598">
        <v>0</v>
      </c>
      <c r="J270" s="599">
        <v>0</v>
      </c>
      <c r="K270" s="600">
        <v>0</v>
      </c>
      <c r="L270" s="601">
        <v>0</v>
      </c>
      <c r="M270" s="602">
        <v>0</v>
      </c>
      <c r="N270" s="603">
        <v>0</v>
      </c>
      <c r="O270" s="604">
        <v>0</v>
      </c>
      <c r="P270" s="605">
        <v>0</v>
      </c>
      <c r="Q270" s="679">
        <v>0</v>
      </c>
      <c r="R270" s="596">
        <v>0</v>
      </c>
      <c r="S270" s="598">
        <f t="shared" si="42"/>
        <v>0</v>
      </c>
      <c r="T270" s="572"/>
      <c r="U270" s="607"/>
      <c r="V270" s="607"/>
      <c r="W270" s="607"/>
      <c r="X270" s="607"/>
      <c r="Y270" s="585"/>
      <c r="Z270" s="585"/>
    </row>
    <row r="271" spans="1:26">
      <c r="A271" s="592" t="s">
        <v>766</v>
      </c>
      <c r="B271" s="592" t="s">
        <v>398</v>
      </c>
      <c r="C271" s="593">
        <v>262</v>
      </c>
      <c r="D271" s="704" t="str">
        <f t="shared" ref="D271:D279" si="43">+A271</f>
        <v>2362</v>
      </c>
      <c r="E271" s="650" t="s">
        <v>767</v>
      </c>
      <c r="F271" s="596">
        <v>-122306.54</v>
      </c>
      <c r="G271" s="678">
        <v>-180888.21</v>
      </c>
      <c r="H271" s="598">
        <v>-240693.32</v>
      </c>
      <c r="I271" s="598">
        <v>-246824.67</v>
      </c>
      <c r="J271" s="599">
        <v>-235163.68</v>
      </c>
      <c r="K271" s="600">
        <v>-253498.68</v>
      </c>
      <c r="L271" s="601">
        <v>-277379.96000000002</v>
      </c>
      <c r="M271" s="602">
        <v>-92035.25</v>
      </c>
      <c r="N271" s="603">
        <v>-54725.34</v>
      </c>
      <c r="O271" s="604">
        <v>-72074.740000000005</v>
      </c>
      <c r="P271" s="605">
        <v>-76481.72</v>
      </c>
      <c r="Q271" s="679">
        <v>-84109.16</v>
      </c>
      <c r="R271" s="596">
        <v>-118694.05</v>
      </c>
      <c r="S271" s="598">
        <f t="shared" si="42"/>
        <v>-161197.91874999998</v>
      </c>
      <c r="T271" s="572"/>
      <c r="U271" s="607"/>
      <c r="V271" s="607"/>
      <c r="W271" s="607"/>
      <c r="X271" s="608">
        <f>S271</f>
        <v>-161197.91874999998</v>
      </c>
      <c r="Y271" s="585"/>
      <c r="Z271" s="585"/>
    </row>
    <row r="272" spans="1:26">
      <c r="A272" s="592" t="s">
        <v>768</v>
      </c>
      <c r="B272" s="592" t="s">
        <v>398</v>
      </c>
      <c r="C272" s="593">
        <v>263</v>
      </c>
      <c r="D272" s="704" t="str">
        <f t="shared" si="43"/>
        <v>2363</v>
      </c>
      <c r="E272" s="650" t="s">
        <v>769</v>
      </c>
      <c r="F272" s="596">
        <v>-18648.22</v>
      </c>
      <c r="G272" s="678">
        <v>-25906.68</v>
      </c>
      <c r="H272" s="598">
        <v>-24929.919999999998</v>
      </c>
      <c r="I272" s="598">
        <v>-36510.44</v>
      </c>
      <c r="J272" s="599">
        <v>-25525.56</v>
      </c>
      <c r="K272" s="600">
        <v>-11675.53</v>
      </c>
      <c r="L272" s="601">
        <v>-27399.52</v>
      </c>
      <c r="M272" s="602">
        <v>-14856.45</v>
      </c>
      <c r="N272" s="603">
        <v>-66036.5</v>
      </c>
      <c r="O272" s="604">
        <v>-23630.07</v>
      </c>
      <c r="P272" s="605">
        <v>-16631.990000000002</v>
      </c>
      <c r="Q272" s="679">
        <v>-18980.849999999999</v>
      </c>
      <c r="R272" s="596">
        <v>-20818.02</v>
      </c>
      <c r="S272" s="598">
        <f t="shared" si="42"/>
        <v>-25984.719166666666</v>
      </c>
      <c r="T272" s="572"/>
      <c r="U272" s="607"/>
      <c r="V272" s="607"/>
      <c r="W272" s="607"/>
      <c r="X272" s="608">
        <f>S272</f>
        <v>-25984.719166666666</v>
      </c>
      <c r="Y272" s="585"/>
      <c r="Z272" s="585"/>
    </row>
    <row r="273" spans="1:26">
      <c r="A273" s="592" t="s">
        <v>770</v>
      </c>
      <c r="B273" s="592" t="s">
        <v>398</v>
      </c>
      <c r="C273" s="593">
        <v>264</v>
      </c>
      <c r="D273" s="704" t="str">
        <f t="shared" si="43"/>
        <v>2364</v>
      </c>
      <c r="E273" s="650" t="s">
        <v>771</v>
      </c>
      <c r="F273" s="596">
        <v>-7203684.0999999996</v>
      </c>
      <c r="G273" s="678">
        <v>-7861630.9900000002</v>
      </c>
      <c r="H273" s="598">
        <v>-7668156.0499999998</v>
      </c>
      <c r="I273" s="598">
        <v>-7460719.6799999997</v>
      </c>
      <c r="J273" s="599">
        <v>-4502549.17</v>
      </c>
      <c r="K273" s="600">
        <v>-4299002.71</v>
      </c>
      <c r="L273" s="601">
        <v>-4545677.1399999997</v>
      </c>
      <c r="M273" s="602">
        <v>-4296397.0999999996</v>
      </c>
      <c r="N273" s="603">
        <v>-3299189.06</v>
      </c>
      <c r="O273" s="604">
        <v>-3817457.33</v>
      </c>
      <c r="P273" s="605">
        <v>-4325709.76</v>
      </c>
      <c r="Q273" s="679">
        <v>-4854347.59</v>
      </c>
      <c r="R273" s="596">
        <v>-6990642.5199999996</v>
      </c>
      <c r="S273" s="598">
        <f t="shared" si="42"/>
        <v>-5335666.6574999997</v>
      </c>
      <c r="T273" s="572"/>
      <c r="U273" s="607"/>
      <c r="V273" s="607"/>
      <c r="W273" s="607"/>
      <c r="X273" s="608">
        <f>S273</f>
        <v>-5335666.6574999997</v>
      </c>
      <c r="Y273" s="585"/>
      <c r="Z273" s="585"/>
    </row>
    <row r="274" spans="1:26">
      <c r="A274" s="592" t="s">
        <v>772</v>
      </c>
      <c r="B274" s="592" t="s">
        <v>398</v>
      </c>
      <c r="C274" s="593">
        <v>265</v>
      </c>
      <c r="D274" s="592" t="str">
        <f t="shared" si="43"/>
        <v>2380</v>
      </c>
      <c r="E274" s="650" t="s">
        <v>773</v>
      </c>
      <c r="F274" s="596">
        <v>-4160000</v>
      </c>
      <c r="G274" s="678">
        <v>0</v>
      </c>
      <c r="H274" s="598">
        <v>-4160000</v>
      </c>
      <c r="I274" s="598">
        <v>-4160000</v>
      </c>
      <c r="J274" s="599">
        <v>0</v>
      </c>
      <c r="K274" s="600">
        <v>-4160000</v>
      </c>
      <c r="L274" s="601">
        <v>-4160000</v>
      </c>
      <c r="M274" s="602">
        <v>0</v>
      </c>
      <c r="N274" s="603">
        <v>-4160000</v>
      </c>
      <c r="O274" s="604">
        <v>-4160000</v>
      </c>
      <c r="P274" s="605">
        <v>0</v>
      </c>
      <c r="Q274" s="679">
        <v>-4160000</v>
      </c>
      <c r="R274" s="596">
        <v>-4160000</v>
      </c>
      <c r="S274" s="598">
        <f t="shared" si="42"/>
        <v>-2773333.3333333335</v>
      </c>
      <c r="T274" s="572"/>
      <c r="U274" s="608"/>
      <c r="V274" s="607"/>
      <c r="W274" s="607"/>
      <c r="X274" s="608">
        <f>+S274</f>
        <v>-2773333.3333333335</v>
      </c>
      <c r="Y274" s="585"/>
      <c r="Z274" s="585"/>
    </row>
    <row r="275" spans="1:26">
      <c r="A275" s="592" t="s">
        <v>774</v>
      </c>
      <c r="B275" s="592" t="s">
        <v>398</v>
      </c>
      <c r="C275" s="593">
        <v>266</v>
      </c>
      <c r="D275" s="592" t="str">
        <f t="shared" si="43"/>
        <v>2351</v>
      </c>
      <c r="E275" s="650" t="s">
        <v>775</v>
      </c>
      <c r="F275" s="596">
        <v>-1061068.4099999999</v>
      </c>
      <c r="G275" s="678">
        <v>-1036223.43</v>
      </c>
      <c r="H275" s="598">
        <v>-1033621.39</v>
      </c>
      <c r="I275" s="598">
        <v>-998194.75</v>
      </c>
      <c r="J275" s="599">
        <v>-975157.17</v>
      </c>
      <c r="K275" s="600">
        <v>-947442.57</v>
      </c>
      <c r="L275" s="601">
        <v>-899116.73</v>
      </c>
      <c r="M275" s="602">
        <v>-884343.3</v>
      </c>
      <c r="N275" s="603">
        <v>-871879.41</v>
      </c>
      <c r="O275" s="604">
        <v>-834316.95</v>
      </c>
      <c r="P275" s="605">
        <v>-846708.09</v>
      </c>
      <c r="Q275" s="679">
        <v>-863050.89</v>
      </c>
      <c r="R275" s="596">
        <v>-874939.13</v>
      </c>
      <c r="S275" s="598">
        <f t="shared" si="42"/>
        <v>-929838.20416666672</v>
      </c>
      <c r="T275" s="572"/>
      <c r="U275" s="607"/>
      <c r="V275" s="607"/>
      <c r="W275" s="608">
        <f>S275</f>
        <v>-929838.20416666672</v>
      </c>
      <c r="X275" s="607"/>
      <c r="Y275" s="585"/>
      <c r="Z275" s="585"/>
    </row>
    <row r="276" spans="1:26">
      <c r="A276" s="592" t="s">
        <v>776</v>
      </c>
      <c r="B276" s="592" t="s">
        <v>398</v>
      </c>
      <c r="C276" s="593">
        <v>267</v>
      </c>
      <c r="D276" s="592" t="str">
        <f t="shared" si="43"/>
        <v>2370</v>
      </c>
      <c r="E276" s="650" t="s">
        <v>777</v>
      </c>
      <c r="F276" s="596">
        <v>0</v>
      </c>
      <c r="G276" s="678">
        <v>0</v>
      </c>
      <c r="H276" s="598">
        <v>0</v>
      </c>
      <c r="I276" s="598">
        <v>0</v>
      </c>
      <c r="J276" s="599">
        <v>0</v>
      </c>
      <c r="K276" s="600">
        <v>0</v>
      </c>
      <c r="L276" s="601">
        <v>0</v>
      </c>
      <c r="M276" s="602">
        <v>0</v>
      </c>
      <c r="N276" s="603">
        <v>0</v>
      </c>
      <c r="O276" s="604">
        <v>0</v>
      </c>
      <c r="P276" s="605">
        <v>0</v>
      </c>
      <c r="Q276" s="679">
        <v>0</v>
      </c>
      <c r="R276" s="596">
        <v>0</v>
      </c>
      <c r="S276" s="598">
        <f t="shared" si="42"/>
        <v>0</v>
      </c>
      <c r="T276" s="572"/>
      <c r="U276" s="607"/>
      <c r="V276" s="607"/>
      <c r="W276" s="607"/>
      <c r="X276" s="607"/>
      <c r="Y276" s="585"/>
      <c r="Z276" s="585"/>
    </row>
    <row r="277" spans="1:26">
      <c r="A277" s="592" t="s">
        <v>778</v>
      </c>
      <c r="B277" s="592" t="s">
        <v>398</v>
      </c>
      <c r="C277" s="593">
        <v>268</v>
      </c>
      <c r="D277" s="592" t="str">
        <f t="shared" si="43"/>
        <v>2371</v>
      </c>
      <c r="E277" s="650" t="s">
        <v>779</v>
      </c>
      <c r="F277" s="596">
        <v>0</v>
      </c>
      <c r="G277" s="678">
        <v>0</v>
      </c>
      <c r="H277" s="598">
        <v>0</v>
      </c>
      <c r="I277" s="598">
        <v>0</v>
      </c>
      <c r="J277" s="599">
        <v>0</v>
      </c>
      <c r="K277" s="600">
        <v>0</v>
      </c>
      <c r="L277" s="601">
        <v>0</v>
      </c>
      <c r="M277" s="602">
        <v>0</v>
      </c>
      <c r="N277" s="603">
        <v>0</v>
      </c>
      <c r="O277" s="604">
        <v>0</v>
      </c>
      <c r="P277" s="605">
        <v>0</v>
      </c>
      <c r="Q277" s="679">
        <v>0</v>
      </c>
      <c r="R277" s="596">
        <v>0</v>
      </c>
      <c r="S277" s="598">
        <f t="shared" si="42"/>
        <v>0</v>
      </c>
      <c r="T277" s="572"/>
      <c r="U277" s="607"/>
      <c r="V277" s="607"/>
      <c r="W277" s="607"/>
      <c r="X277" s="607"/>
      <c r="Y277" s="585"/>
      <c r="Z277" s="585"/>
    </row>
    <row r="278" spans="1:26">
      <c r="A278" s="592" t="s">
        <v>780</v>
      </c>
      <c r="B278" s="592" t="s">
        <v>398</v>
      </c>
      <c r="C278" s="593">
        <v>269</v>
      </c>
      <c r="D278" s="592" t="str">
        <f t="shared" si="43"/>
        <v>2372</v>
      </c>
      <c r="E278" s="650" t="s">
        <v>781</v>
      </c>
      <c r="F278" s="596">
        <v>-3114287.11</v>
      </c>
      <c r="G278" s="678">
        <v>-3522755.65</v>
      </c>
      <c r="H278" s="598">
        <v>-3070149.83</v>
      </c>
      <c r="I278" s="598">
        <v>-2450274.6</v>
      </c>
      <c r="J278" s="599">
        <v>-2098799.39</v>
      </c>
      <c r="K278" s="600">
        <v>-2184756.06</v>
      </c>
      <c r="L278" s="601">
        <v>-3113412.11</v>
      </c>
      <c r="M278" s="602">
        <v>-3521443.15</v>
      </c>
      <c r="N278" s="603">
        <v>-3069852.31</v>
      </c>
      <c r="O278" s="604">
        <v>-2449679.61</v>
      </c>
      <c r="P278" s="605">
        <v>-2097906.89</v>
      </c>
      <c r="Q278" s="679">
        <v>-2184677.31</v>
      </c>
      <c r="R278" s="596">
        <v>-3113254.61</v>
      </c>
      <c r="S278" s="598">
        <f t="shared" si="42"/>
        <v>-2739789.8141666665</v>
      </c>
      <c r="T278" s="572"/>
      <c r="U278" s="607"/>
      <c r="V278" s="607"/>
      <c r="W278" s="607"/>
      <c r="X278" s="608">
        <f t="shared" ref="X278:X284" si="44">S278</f>
        <v>-2739789.8141666665</v>
      </c>
      <c r="Y278" s="585"/>
      <c r="Z278" s="585"/>
    </row>
    <row r="279" spans="1:26">
      <c r="A279" s="592" t="s">
        <v>782</v>
      </c>
      <c r="B279" s="592" t="s">
        <v>398</v>
      </c>
      <c r="C279" s="593">
        <v>270</v>
      </c>
      <c r="D279" s="592" t="str">
        <f t="shared" si="43"/>
        <v>2422</v>
      </c>
      <c r="E279" s="650" t="s">
        <v>783</v>
      </c>
      <c r="F279" s="596">
        <v>-1093655.54</v>
      </c>
      <c r="G279" s="678">
        <v>-1299704.98</v>
      </c>
      <c r="H279" s="598">
        <v>-1498001.43</v>
      </c>
      <c r="I279" s="598">
        <v>-901051.54</v>
      </c>
      <c r="J279" s="599">
        <v>-1108004.83</v>
      </c>
      <c r="K279" s="600">
        <v>-1391174.36</v>
      </c>
      <c r="L279" s="601">
        <v>-1751963.37</v>
      </c>
      <c r="M279" s="602">
        <v>-1779240.85</v>
      </c>
      <c r="N279" s="603">
        <v>-1312978.69</v>
      </c>
      <c r="O279" s="604">
        <v>-1570905.58</v>
      </c>
      <c r="P279" s="605">
        <v>-1805079.83</v>
      </c>
      <c r="Q279" s="679">
        <v>-2157913.0099999998</v>
      </c>
      <c r="R279" s="596">
        <v>-2518715.25</v>
      </c>
      <c r="S279" s="598">
        <f t="shared" si="42"/>
        <v>-1531850.3220833335</v>
      </c>
      <c r="T279" s="572"/>
      <c r="U279" s="607"/>
      <c r="V279" s="607"/>
      <c r="W279" s="607"/>
      <c r="X279" s="608">
        <f t="shared" si="44"/>
        <v>-1531850.3220833335</v>
      </c>
      <c r="Y279" s="585"/>
      <c r="Z279" s="585"/>
    </row>
    <row r="280" spans="1:26">
      <c r="A280" s="592" t="s">
        <v>784</v>
      </c>
      <c r="B280" s="592" t="s">
        <v>718</v>
      </c>
      <c r="C280" s="593">
        <v>271</v>
      </c>
      <c r="D280" s="594" t="str">
        <f>A280&amp;"."&amp;B280</f>
        <v>2420.[2*,/217]</v>
      </c>
      <c r="E280" s="650" t="s">
        <v>785</v>
      </c>
      <c r="F280" s="596">
        <v>-10188969.5</v>
      </c>
      <c r="G280" s="678">
        <v>-6937069.1699999999</v>
      </c>
      <c r="H280" s="598">
        <v>-6250877.6799999997</v>
      </c>
      <c r="I280" s="598">
        <v>-5763303.1699999999</v>
      </c>
      <c r="J280" s="599">
        <v>-5782032.4199999999</v>
      </c>
      <c r="K280" s="600">
        <v>-6585683.3399999999</v>
      </c>
      <c r="L280" s="601">
        <v>-8962969.2899999991</v>
      </c>
      <c r="M280" s="602">
        <v>-10237086.550000001</v>
      </c>
      <c r="N280" s="603">
        <v>-9826250.1699999999</v>
      </c>
      <c r="O280" s="604">
        <v>-11151490.91</v>
      </c>
      <c r="P280" s="605">
        <v>-14648505.33</v>
      </c>
      <c r="Q280" s="679">
        <v>-11549414.300000001</v>
      </c>
      <c r="R280" s="596">
        <v>-8845744.0899999999</v>
      </c>
      <c r="S280" s="598">
        <f t="shared" si="42"/>
        <v>-8934336.5937499981</v>
      </c>
      <c r="T280" s="572"/>
      <c r="U280" s="607"/>
      <c r="V280" s="607"/>
      <c r="W280" s="607"/>
      <c r="X280" s="608">
        <f t="shared" si="44"/>
        <v>-8934336.5937499981</v>
      </c>
      <c r="Y280" s="585"/>
      <c r="Z280" s="585"/>
    </row>
    <row r="281" spans="1:26">
      <c r="A281" s="592" t="s">
        <v>784</v>
      </c>
      <c r="B281" s="592" t="s">
        <v>720</v>
      </c>
      <c r="C281" s="593">
        <v>272</v>
      </c>
      <c r="D281" s="594" t="str">
        <f>A281&amp;"."&amp;B281</f>
        <v>2420.[217*]</v>
      </c>
      <c r="E281" s="650" t="s">
        <v>493</v>
      </c>
      <c r="F281" s="596">
        <v>-601131.21</v>
      </c>
      <c r="G281" s="678">
        <v>-108778.56</v>
      </c>
      <c r="H281" s="598">
        <v>-132781.67000000001</v>
      </c>
      <c r="I281" s="598">
        <v>8.7311491370201098E-11</v>
      </c>
      <c r="J281" s="599">
        <v>-118681.95</v>
      </c>
      <c r="K281" s="600">
        <v>-38588.779999999897</v>
      </c>
      <c r="L281" s="601">
        <v>-730937.53</v>
      </c>
      <c r="M281" s="602">
        <v>-475031.73</v>
      </c>
      <c r="N281" s="603">
        <v>-505192.28</v>
      </c>
      <c r="O281" s="604">
        <v>-89030.549999999901</v>
      </c>
      <c r="P281" s="605">
        <v>-520709.52</v>
      </c>
      <c r="Q281" s="679">
        <v>-95607.389999999898</v>
      </c>
      <c r="R281" s="596">
        <v>-1551284.94</v>
      </c>
      <c r="S281" s="598">
        <f t="shared" si="42"/>
        <v>-324295.66958333337</v>
      </c>
      <c r="T281" s="572"/>
      <c r="U281" s="607"/>
      <c r="V281" s="607"/>
      <c r="W281" s="607"/>
      <c r="X281" s="608">
        <f t="shared" si="44"/>
        <v>-324295.66958333337</v>
      </c>
      <c r="Y281" s="585"/>
      <c r="Z281" s="585"/>
    </row>
    <row r="282" spans="1:26">
      <c r="A282" s="592" t="s">
        <v>786</v>
      </c>
      <c r="B282" s="592" t="s">
        <v>398</v>
      </c>
      <c r="C282" s="593">
        <v>273</v>
      </c>
      <c r="D282" s="592" t="str">
        <f>+A282</f>
        <v>2423</v>
      </c>
      <c r="E282" s="650" t="s">
        <v>787</v>
      </c>
      <c r="F282" s="596">
        <v>-1830287.74</v>
      </c>
      <c r="G282" s="678">
        <v>-1830287.74</v>
      </c>
      <c r="H282" s="598">
        <v>-1830287.74</v>
      </c>
      <c r="I282" s="598">
        <v>-1832155.73</v>
      </c>
      <c r="J282" s="599">
        <v>-1832155.73</v>
      </c>
      <c r="K282" s="600">
        <v>-1832155.73</v>
      </c>
      <c r="L282" s="601">
        <v>-1835522.18</v>
      </c>
      <c r="M282" s="602">
        <v>-1835522.18</v>
      </c>
      <c r="N282" s="603">
        <v>-1835522.18</v>
      </c>
      <c r="O282" s="604">
        <v>-1921571.95</v>
      </c>
      <c r="P282" s="605">
        <v>-1921571.95</v>
      </c>
      <c r="Q282" s="679">
        <v>-1921571.95</v>
      </c>
      <c r="R282" s="596">
        <v>-1970912.73</v>
      </c>
      <c r="S282" s="598">
        <f t="shared" si="42"/>
        <v>-1860743.7745833332</v>
      </c>
      <c r="T282" s="572"/>
      <c r="U282" s="607"/>
      <c r="V282" s="607"/>
      <c r="W282" s="607"/>
      <c r="X282" s="608">
        <f t="shared" si="44"/>
        <v>-1860743.7745833332</v>
      </c>
      <c r="Y282" s="585"/>
      <c r="Z282" s="585"/>
    </row>
    <row r="283" spans="1:26">
      <c r="A283" s="693" t="s">
        <v>788</v>
      </c>
      <c r="B283" s="592" t="s">
        <v>789</v>
      </c>
      <c r="C283" s="593">
        <v>274</v>
      </c>
      <c r="D283" s="594" t="str">
        <f>A283&amp;"."&amp;B283</f>
        <v>2429.[4*,00*,01*,02*,03*]</v>
      </c>
      <c r="E283" s="650" t="s">
        <v>790</v>
      </c>
      <c r="F283" s="596">
        <v>-1180759.56</v>
      </c>
      <c r="G283" s="678">
        <v>-986886.47</v>
      </c>
      <c r="H283" s="598">
        <v>-978653.47</v>
      </c>
      <c r="I283" s="598">
        <v>-878433.12</v>
      </c>
      <c r="J283" s="599">
        <v>-722250.99</v>
      </c>
      <c r="K283" s="600">
        <v>-619284.56999999995</v>
      </c>
      <c r="L283" s="601">
        <v>-506661.02</v>
      </c>
      <c r="M283" s="602">
        <v>-509078.11</v>
      </c>
      <c r="N283" s="603">
        <v>-564258.21</v>
      </c>
      <c r="O283" s="604">
        <v>-562936.53</v>
      </c>
      <c r="P283" s="605">
        <v>-678941.44</v>
      </c>
      <c r="Q283" s="679">
        <v>-787284.31</v>
      </c>
      <c r="R283" s="596">
        <v>-1160406.48</v>
      </c>
      <c r="S283" s="598">
        <f t="shared" si="42"/>
        <v>-747104.27166666661</v>
      </c>
      <c r="T283" s="572"/>
      <c r="U283" s="607"/>
      <c r="V283" s="607"/>
      <c r="W283" s="607"/>
      <c r="X283" s="608">
        <f t="shared" si="44"/>
        <v>-747104.27166666661</v>
      </c>
      <c r="Y283" s="585"/>
      <c r="Z283" s="585"/>
    </row>
    <row r="284" spans="1:26">
      <c r="A284" s="693" t="s">
        <v>788</v>
      </c>
      <c r="B284" s="592" t="s">
        <v>724</v>
      </c>
      <c r="C284" s="593">
        <v>275</v>
      </c>
      <c r="D284" s="594" t="str">
        <f>A284&amp;"."&amp;B284</f>
        <v>2429.3*</v>
      </c>
      <c r="E284" s="650" t="s">
        <v>791</v>
      </c>
      <c r="F284" s="596">
        <v>-1104283.72</v>
      </c>
      <c r="G284" s="678">
        <v>-1246645.97</v>
      </c>
      <c r="H284" s="598">
        <v>-354050.45</v>
      </c>
      <c r="I284" s="598">
        <v>-525583.57999999996</v>
      </c>
      <c r="J284" s="599">
        <v>-686452.22</v>
      </c>
      <c r="K284" s="600">
        <v>-825247.08</v>
      </c>
      <c r="L284" s="601">
        <v>-988608.68</v>
      </c>
      <c r="M284" s="602">
        <v>-1129967.48</v>
      </c>
      <c r="N284" s="603">
        <v>-485123.15</v>
      </c>
      <c r="O284" s="604">
        <v>-652733.34</v>
      </c>
      <c r="P284" s="605">
        <v>-790626.09</v>
      </c>
      <c r="Q284" s="679">
        <v>-1012338.01</v>
      </c>
      <c r="R284" s="596">
        <v>-1195571.69</v>
      </c>
      <c r="S284" s="598">
        <f t="shared" si="42"/>
        <v>-820608.64624999987</v>
      </c>
      <c r="T284" s="572"/>
      <c r="U284" s="607"/>
      <c r="V284" s="607"/>
      <c r="W284" s="607"/>
      <c r="X284" s="608">
        <f t="shared" si="44"/>
        <v>-820608.64624999987</v>
      </c>
      <c r="Y284" s="585"/>
      <c r="Z284" s="585"/>
    </row>
    <row r="285" spans="1:26">
      <c r="A285" s="693" t="s">
        <v>788</v>
      </c>
      <c r="B285" s="592" t="s">
        <v>101</v>
      </c>
      <c r="C285" s="593">
        <v>276</v>
      </c>
      <c r="D285" s="594" t="str">
        <f>A285&amp;"."&amp;B285</f>
        <v>2429.WA</v>
      </c>
      <c r="E285" s="650" t="s">
        <v>792</v>
      </c>
      <c r="F285" s="596">
        <v>0</v>
      </c>
      <c r="G285" s="678">
        <v>0</v>
      </c>
      <c r="H285" s="598">
        <v>0</v>
      </c>
      <c r="I285" s="598">
        <v>0</v>
      </c>
      <c r="J285" s="599">
        <v>0</v>
      </c>
      <c r="K285" s="600">
        <v>0</v>
      </c>
      <c r="L285" s="601">
        <v>0</v>
      </c>
      <c r="M285" s="602">
        <v>0</v>
      </c>
      <c r="N285" s="603">
        <v>0</v>
      </c>
      <c r="O285" s="604">
        <v>0</v>
      </c>
      <c r="P285" s="605">
        <v>0</v>
      </c>
      <c r="Q285" s="679">
        <v>0</v>
      </c>
      <c r="R285" s="596">
        <v>0</v>
      </c>
      <c r="S285" s="598">
        <f t="shared" si="42"/>
        <v>0</v>
      </c>
      <c r="T285" s="572"/>
      <c r="U285" s="607"/>
      <c r="V285" s="607"/>
      <c r="W285" s="607"/>
      <c r="X285" s="607"/>
      <c r="Y285" s="585"/>
      <c r="Z285" s="585"/>
    </row>
    <row r="286" spans="1:26">
      <c r="A286" s="693" t="s">
        <v>788</v>
      </c>
      <c r="B286" s="592" t="s">
        <v>75</v>
      </c>
      <c r="C286" s="593">
        <v>277</v>
      </c>
      <c r="D286" s="594" t="str">
        <f>A286&amp;"."&amp;B286</f>
        <v>2429.OR</v>
      </c>
      <c r="E286" s="650" t="s">
        <v>793</v>
      </c>
      <c r="F286" s="596">
        <v>0</v>
      </c>
      <c r="G286" s="678">
        <v>0</v>
      </c>
      <c r="H286" s="598">
        <v>0</v>
      </c>
      <c r="I286" s="598">
        <v>0</v>
      </c>
      <c r="J286" s="599">
        <v>0</v>
      </c>
      <c r="K286" s="600">
        <v>0</v>
      </c>
      <c r="L286" s="601">
        <v>0</v>
      </c>
      <c r="M286" s="602">
        <v>0</v>
      </c>
      <c r="N286" s="603">
        <v>0</v>
      </c>
      <c r="O286" s="604">
        <v>0</v>
      </c>
      <c r="P286" s="605">
        <v>0</v>
      </c>
      <c r="Q286" s="679">
        <v>0</v>
      </c>
      <c r="R286" s="596">
        <v>0</v>
      </c>
      <c r="S286" s="598">
        <f t="shared" si="42"/>
        <v>0</v>
      </c>
      <c r="T286" s="572"/>
      <c r="U286" s="607"/>
      <c r="V286" s="607"/>
      <c r="W286" s="607"/>
      <c r="X286" s="607"/>
      <c r="Y286" s="585"/>
      <c r="Z286" s="585"/>
    </row>
    <row r="287" spans="1:26">
      <c r="A287" s="568" t="s">
        <v>794</v>
      </c>
      <c r="B287" s="568" t="s">
        <v>795</v>
      </c>
      <c r="C287" s="593">
        <v>278</v>
      </c>
      <c r="D287" s="568" t="str">
        <f>+A287</f>
        <v>2282</v>
      </c>
      <c r="E287" s="650" t="s">
        <v>796</v>
      </c>
      <c r="F287" s="596">
        <v>0</v>
      </c>
      <c r="G287" s="678">
        <v>0</v>
      </c>
      <c r="H287" s="598">
        <v>0</v>
      </c>
      <c r="I287" s="598">
        <v>0</v>
      </c>
      <c r="J287" s="599">
        <v>0</v>
      </c>
      <c r="K287" s="600">
        <v>0</v>
      </c>
      <c r="L287" s="601">
        <v>0</v>
      </c>
      <c r="M287" s="602">
        <v>0</v>
      </c>
      <c r="N287" s="603">
        <v>0</v>
      </c>
      <c r="O287" s="673">
        <v>-250000</v>
      </c>
      <c r="P287" s="605">
        <v>-1000000</v>
      </c>
      <c r="Q287" s="679">
        <v>-1000000</v>
      </c>
      <c r="R287" s="596">
        <v>-1400000</v>
      </c>
      <c r="S287" s="598">
        <f t="shared" si="42"/>
        <v>-245833.33333333334</v>
      </c>
      <c r="T287" s="572"/>
      <c r="U287" s="607"/>
      <c r="V287" s="607"/>
      <c r="W287" s="608"/>
      <c r="X287" s="608">
        <f>S287</f>
        <v>-245833.33333333334</v>
      </c>
      <c r="Y287" s="575"/>
      <c r="Z287" s="575"/>
    </row>
    <row r="288" spans="1:26">
      <c r="A288" s="568" t="s">
        <v>797</v>
      </c>
      <c r="B288" s="568" t="s">
        <v>798</v>
      </c>
      <c r="C288" s="593">
        <v>279</v>
      </c>
      <c r="D288" s="694" t="str">
        <f>A288&amp;"."&amp;B288</f>
        <v>2284.02*</v>
      </c>
      <c r="E288" s="650" t="s">
        <v>799</v>
      </c>
      <c r="F288" s="596">
        <v>0</v>
      </c>
      <c r="G288" s="678">
        <v>0</v>
      </c>
      <c r="H288" s="598">
        <v>0</v>
      </c>
      <c r="I288" s="598">
        <v>0</v>
      </c>
      <c r="J288" s="599">
        <v>0</v>
      </c>
      <c r="K288" s="600">
        <v>0</v>
      </c>
      <c r="L288" s="601">
        <v>0</v>
      </c>
      <c r="M288" s="602">
        <v>0</v>
      </c>
      <c r="N288" s="603">
        <v>0</v>
      </c>
      <c r="O288" s="673">
        <v>0</v>
      </c>
      <c r="P288" s="605">
        <v>0</v>
      </c>
      <c r="Q288" s="679">
        <v>0</v>
      </c>
      <c r="R288" s="596">
        <v>0</v>
      </c>
      <c r="S288" s="598">
        <f t="shared" si="42"/>
        <v>0</v>
      </c>
      <c r="T288" s="572"/>
      <c r="U288" s="607"/>
      <c r="V288" s="607"/>
      <c r="W288" s="607"/>
      <c r="X288" s="607"/>
      <c r="Y288" s="575"/>
      <c r="Z288" s="575"/>
    </row>
    <row r="289" spans="1:26">
      <c r="A289" s="592" t="s">
        <v>797</v>
      </c>
      <c r="B289" s="592" t="s">
        <v>800</v>
      </c>
      <c r="C289" s="593">
        <v>280</v>
      </c>
      <c r="D289" s="694" t="str">
        <f>A289&amp;"."&amp;B289</f>
        <v>2284.03*</v>
      </c>
      <c r="E289" s="650" t="s">
        <v>801</v>
      </c>
      <c r="F289" s="596">
        <v>-24135</v>
      </c>
      <c r="G289" s="678">
        <v>-24135</v>
      </c>
      <c r="H289" s="598">
        <v>-24135</v>
      </c>
      <c r="I289" s="598">
        <v>-24135</v>
      </c>
      <c r="J289" s="599">
        <v>-24135</v>
      </c>
      <c r="K289" s="600">
        <v>-24135</v>
      </c>
      <c r="L289" s="601">
        <v>-24135</v>
      </c>
      <c r="M289" s="602">
        <v>-24135</v>
      </c>
      <c r="N289" s="603">
        <v>-24135</v>
      </c>
      <c r="O289" s="673">
        <v>-48270</v>
      </c>
      <c r="P289" s="605">
        <v>-24135</v>
      </c>
      <c r="Q289" s="679">
        <v>-24135</v>
      </c>
      <c r="R289" s="596">
        <v>-24135</v>
      </c>
      <c r="S289" s="598">
        <f t="shared" si="42"/>
        <v>-26146.25</v>
      </c>
      <c r="T289" s="572"/>
      <c r="U289" s="607"/>
      <c r="V289" s="607"/>
      <c r="W289" s="607"/>
      <c r="X289" s="608">
        <f>S289</f>
        <v>-26146.25</v>
      </c>
      <c r="Y289" s="575"/>
      <c r="Z289" s="575"/>
    </row>
    <row r="290" spans="1:26">
      <c r="A290" s="693" t="s">
        <v>802</v>
      </c>
      <c r="B290" s="592" t="s">
        <v>398</v>
      </c>
      <c r="C290" s="593">
        <v>281</v>
      </c>
      <c r="D290" s="693" t="str">
        <f>+A290</f>
        <v>2292</v>
      </c>
      <c r="E290" s="650" t="s">
        <v>803</v>
      </c>
      <c r="F290" s="596">
        <v>0</v>
      </c>
      <c r="G290" s="678">
        <v>0</v>
      </c>
      <c r="H290" s="598">
        <v>0</v>
      </c>
      <c r="I290" s="598">
        <v>0</v>
      </c>
      <c r="J290" s="599">
        <v>0</v>
      </c>
      <c r="K290" s="600">
        <v>0</v>
      </c>
      <c r="L290" s="601">
        <v>0</v>
      </c>
      <c r="M290" s="602">
        <v>0</v>
      </c>
      <c r="N290" s="603">
        <v>0</v>
      </c>
      <c r="O290" s="604">
        <v>0</v>
      </c>
      <c r="P290" s="605">
        <v>0</v>
      </c>
      <c r="Q290" s="679">
        <v>0</v>
      </c>
      <c r="R290" s="596">
        <v>0</v>
      </c>
      <c r="S290" s="598">
        <f t="shared" si="42"/>
        <v>0</v>
      </c>
      <c r="T290" s="572"/>
      <c r="U290" s="607"/>
      <c r="V290" s="607"/>
      <c r="W290" s="607"/>
      <c r="X290" s="607"/>
      <c r="Y290" s="575"/>
      <c r="Z290" s="575"/>
    </row>
    <row r="291" spans="1:26">
      <c r="A291" s="592" t="s">
        <v>804</v>
      </c>
      <c r="B291" s="592" t="s">
        <v>805</v>
      </c>
      <c r="C291" s="593">
        <v>282</v>
      </c>
      <c r="D291" s="694" t="str">
        <f>A291&amp;"."&amp;B291</f>
        <v>2530.01*</v>
      </c>
      <c r="E291" s="650" t="s">
        <v>806</v>
      </c>
      <c r="F291" s="596">
        <v>-5668916.5</v>
      </c>
      <c r="G291" s="678">
        <v>-11779253.52</v>
      </c>
      <c r="H291" s="598">
        <v>-14855188.869999999</v>
      </c>
      <c r="I291" s="598">
        <v>-17538968.100000001</v>
      </c>
      <c r="J291" s="599">
        <v>-17813475.629999999</v>
      </c>
      <c r="K291" s="600">
        <v>-17139166.859999999</v>
      </c>
      <c r="L291" s="601">
        <v>-15535204.800000001</v>
      </c>
      <c r="M291" s="602">
        <v>-13449776.59</v>
      </c>
      <c r="N291" s="603">
        <v>-10889858.210000001</v>
      </c>
      <c r="O291" s="604">
        <v>-8799904.3399999999</v>
      </c>
      <c r="P291" s="605">
        <v>-8185007.1600000001</v>
      </c>
      <c r="Q291" s="679">
        <v>-6330404.5300000003</v>
      </c>
      <c r="R291" s="596">
        <v>-5627226.9299999997</v>
      </c>
      <c r="S291" s="598">
        <f t="shared" si="42"/>
        <v>-12330356.693750001</v>
      </c>
      <c r="T291" s="572"/>
      <c r="U291" s="607"/>
      <c r="V291" s="607"/>
      <c r="W291" s="607"/>
      <c r="X291" s="608">
        <f>S291</f>
        <v>-12330356.693750001</v>
      </c>
      <c r="Y291" s="585"/>
      <c r="Z291" s="585"/>
    </row>
    <row r="292" spans="1:26">
      <c r="A292" s="568" t="s">
        <v>804</v>
      </c>
      <c r="B292" s="568" t="s">
        <v>807</v>
      </c>
      <c r="C292" s="593">
        <v>283</v>
      </c>
      <c r="D292" s="705" t="str">
        <f>A292&amp;"."&amp;B292</f>
        <v>2530.[02008,02009]</v>
      </c>
      <c r="E292" s="650" t="s">
        <v>808</v>
      </c>
      <c r="F292" s="596">
        <v>0</v>
      </c>
      <c r="G292" s="678">
        <v>0</v>
      </c>
      <c r="H292" s="598">
        <v>0</v>
      </c>
      <c r="I292" s="598">
        <v>0</v>
      </c>
      <c r="J292" s="599">
        <v>0</v>
      </c>
      <c r="K292" s="600">
        <v>0</v>
      </c>
      <c r="L292" s="601">
        <v>0</v>
      </c>
      <c r="M292" s="602">
        <v>0</v>
      </c>
      <c r="N292" s="603">
        <v>0</v>
      </c>
      <c r="O292" s="604">
        <v>0</v>
      </c>
      <c r="P292" s="605">
        <v>0</v>
      </c>
      <c r="Q292" s="679">
        <v>0</v>
      </c>
      <c r="R292" s="596">
        <v>0</v>
      </c>
      <c r="S292" s="598">
        <f t="shared" si="42"/>
        <v>0</v>
      </c>
      <c r="T292" s="572"/>
      <c r="U292" s="607"/>
      <c r="V292" s="607"/>
      <c r="W292" s="607"/>
      <c r="X292" s="607"/>
      <c r="Y292" s="585"/>
      <c r="Z292" s="585"/>
    </row>
    <row r="293" spans="1:26">
      <c r="A293" s="592" t="s">
        <v>809</v>
      </c>
      <c r="B293" s="592" t="s">
        <v>615</v>
      </c>
      <c r="C293" s="593">
        <v>284</v>
      </c>
      <c r="D293" s="594" t="str">
        <f>A293&amp;"."&amp;B293</f>
        <v>2440.1</v>
      </c>
      <c r="E293" s="650" t="s">
        <v>514</v>
      </c>
      <c r="F293" s="596">
        <v>0</v>
      </c>
      <c r="G293" s="678">
        <v>0</v>
      </c>
      <c r="H293" s="598">
        <v>0</v>
      </c>
      <c r="I293" s="598">
        <v>0</v>
      </c>
      <c r="J293" s="599">
        <v>0</v>
      </c>
      <c r="K293" s="600">
        <v>0</v>
      </c>
      <c r="L293" s="601">
        <v>0</v>
      </c>
      <c r="M293" s="602">
        <v>0</v>
      </c>
      <c r="N293" s="603">
        <v>0</v>
      </c>
      <c r="O293" s="604">
        <v>0</v>
      </c>
      <c r="P293" s="605">
        <v>0</v>
      </c>
      <c r="Q293" s="679">
        <v>0</v>
      </c>
      <c r="R293" s="596">
        <v>0</v>
      </c>
      <c r="S293" s="598">
        <f t="shared" si="42"/>
        <v>0</v>
      </c>
      <c r="T293" s="572"/>
      <c r="U293" s="607"/>
      <c r="V293" s="607"/>
      <c r="W293" s="607"/>
      <c r="X293" s="607"/>
      <c r="Y293" s="585"/>
      <c r="Z293" s="585"/>
    </row>
    <row r="294" spans="1:26">
      <c r="A294" s="592"/>
      <c r="B294" s="592"/>
      <c r="C294" s="593">
        <v>285</v>
      </c>
      <c r="D294" s="592"/>
      <c r="E294" s="650"/>
      <c r="F294" s="596"/>
      <c r="G294" s="678"/>
      <c r="H294" s="598"/>
      <c r="I294" s="598"/>
      <c r="J294" s="599"/>
      <c r="K294" s="600"/>
      <c r="L294" s="601"/>
      <c r="M294" s="602"/>
      <c r="N294" s="603"/>
      <c r="O294" s="604"/>
      <c r="P294" s="605"/>
      <c r="Q294" s="679"/>
      <c r="R294" s="596"/>
      <c r="S294" s="598">
        <f t="shared" si="42"/>
        <v>0</v>
      </c>
      <c r="T294" s="572"/>
      <c r="U294" s="607"/>
      <c r="V294" s="607"/>
      <c r="W294" s="607"/>
      <c r="X294" s="607"/>
      <c r="Y294" s="585"/>
      <c r="Z294" s="585"/>
    </row>
    <row r="295" spans="1:26">
      <c r="A295" s="592"/>
      <c r="B295" s="592"/>
      <c r="C295" s="593">
        <v>286</v>
      </c>
      <c r="D295" s="592"/>
      <c r="E295" s="650" t="s">
        <v>810</v>
      </c>
      <c r="F295" s="620">
        <f>SUM(F276:F293)</f>
        <v>-24806425.879999995</v>
      </c>
      <c r="G295" s="620">
        <f t="shared" ref="G295:S295" si="45">SUM(G276:G293)</f>
        <v>-27735517.060000002</v>
      </c>
      <c r="H295" s="620">
        <f t="shared" si="45"/>
        <v>-28994126.140000001</v>
      </c>
      <c r="I295" s="620">
        <f t="shared" si="45"/>
        <v>-29913904.840000004</v>
      </c>
      <c r="J295" s="620">
        <f t="shared" si="45"/>
        <v>-30185988.16</v>
      </c>
      <c r="K295" s="620">
        <f t="shared" si="45"/>
        <v>-30640191.780000001</v>
      </c>
      <c r="L295" s="620">
        <f t="shared" si="45"/>
        <v>-33449413.98</v>
      </c>
      <c r="M295" s="620">
        <f t="shared" si="45"/>
        <v>-32961281.640000001</v>
      </c>
      <c r="N295" s="620">
        <f t="shared" si="45"/>
        <v>-28513170.199999999</v>
      </c>
      <c r="O295" s="620">
        <f t="shared" si="45"/>
        <v>-27496522.810000002</v>
      </c>
      <c r="P295" s="620">
        <f t="shared" si="45"/>
        <v>-31672483.210000001</v>
      </c>
      <c r="Q295" s="620">
        <f t="shared" si="45"/>
        <v>-27063345.810000002</v>
      </c>
      <c r="R295" s="620">
        <f t="shared" si="45"/>
        <v>-27407251.719999999</v>
      </c>
      <c r="S295" s="620">
        <f t="shared" si="45"/>
        <v>-29561065.369166665</v>
      </c>
      <c r="T295" s="572"/>
      <c r="U295" s="607"/>
      <c r="V295" s="607"/>
      <c r="W295" s="607"/>
      <c r="X295" s="607"/>
      <c r="Y295" s="585"/>
      <c r="Z295" s="585"/>
    </row>
    <row r="296" spans="1:26">
      <c r="A296" s="592"/>
      <c r="B296" s="592"/>
      <c r="C296" s="593">
        <v>287</v>
      </c>
      <c r="D296" s="592"/>
      <c r="E296" s="650"/>
      <c r="F296" s="596"/>
      <c r="G296" s="678"/>
      <c r="H296" s="598"/>
      <c r="I296" s="598"/>
      <c r="J296" s="599"/>
      <c r="K296" s="600"/>
      <c r="L296" s="601"/>
      <c r="M296" s="602"/>
      <c r="N296" s="603"/>
      <c r="O296" s="604"/>
      <c r="P296" s="605"/>
      <c r="Q296" s="679"/>
      <c r="R296" s="596"/>
      <c r="S296" s="598">
        <f t="shared" si="42"/>
        <v>0</v>
      </c>
      <c r="T296" s="572"/>
      <c r="U296" s="607"/>
      <c r="V296" s="607"/>
      <c r="W296" s="607"/>
      <c r="X296" s="607"/>
      <c r="Y296" s="585"/>
      <c r="Z296" s="585"/>
    </row>
    <row r="297" spans="1:26">
      <c r="A297" s="568" t="s">
        <v>794</v>
      </c>
      <c r="B297" s="568" t="s">
        <v>811</v>
      </c>
      <c r="C297" s="593">
        <v>288</v>
      </c>
      <c r="D297" s="568" t="str">
        <f>+A297</f>
        <v>2282</v>
      </c>
      <c r="E297" s="650" t="s">
        <v>812</v>
      </c>
      <c r="F297" s="596">
        <v>-14631486.57</v>
      </c>
      <c r="G297" s="623">
        <v>-14584574.82</v>
      </c>
      <c r="H297" s="598">
        <v>-14583283.07</v>
      </c>
      <c r="I297" s="598">
        <v>-14528667.300000001</v>
      </c>
      <c r="J297" s="599">
        <v>-14517823.48</v>
      </c>
      <c r="K297" s="600">
        <v>-14464666.35</v>
      </c>
      <c r="L297" s="601">
        <v>-14447941.59</v>
      </c>
      <c r="M297" s="602">
        <v>-14426749.779999999</v>
      </c>
      <c r="N297" s="603">
        <v>-14320900.5</v>
      </c>
      <c r="O297" s="673">
        <v>-14318635</v>
      </c>
      <c r="P297" s="605">
        <v>-14279202.43</v>
      </c>
      <c r="Q297" s="679">
        <v>-14167518.460000001</v>
      </c>
      <c r="R297" s="596">
        <v>-14098767.550000001</v>
      </c>
      <c r="S297" s="598">
        <f t="shared" si="42"/>
        <v>-14417090.82</v>
      </c>
      <c r="T297" s="572"/>
      <c r="U297" s="607"/>
      <c r="V297" s="607"/>
      <c r="W297" s="607"/>
      <c r="X297" s="607"/>
      <c r="Y297" s="585"/>
      <c r="Z297" s="585"/>
    </row>
    <row r="298" spans="1:26">
      <c r="A298" s="568" t="s">
        <v>813</v>
      </c>
      <c r="B298" s="568" t="s">
        <v>398</v>
      </c>
      <c r="C298" s="593">
        <v>289</v>
      </c>
      <c r="D298" s="568" t="str">
        <f>+A298</f>
        <v>2283</v>
      </c>
      <c r="E298" s="650" t="s">
        <v>814</v>
      </c>
      <c r="F298" s="596">
        <v>-7657939.1200000001</v>
      </c>
      <c r="G298" s="678">
        <v>-7717374.6200000001</v>
      </c>
      <c r="H298" s="598">
        <v>-7776810.1200000001</v>
      </c>
      <c r="I298" s="598">
        <v>-7836245.6200000001</v>
      </c>
      <c r="J298" s="599">
        <v>-7895681.1200000001</v>
      </c>
      <c r="K298" s="600">
        <v>-7960544.96</v>
      </c>
      <c r="L298" s="601">
        <v>-8021066.1200000001</v>
      </c>
      <c r="M298" s="602">
        <v>-8081587.29</v>
      </c>
      <c r="N298" s="603">
        <v>-8142108.4500000002</v>
      </c>
      <c r="O298" s="673">
        <v>-8202629.6200000001</v>
      </c>
      <c r="P298" s="605">
        <v>-8263150.79</v>
      </c>
      <c r="Q298" s="679">
        <v>-8323671.96</v>
      </c>
      <c r="R298" s="596">
        <v>-7687634.5099999998</v>
      </c>
      <c r="S298" s="598">
        <f t="shared" si="42"/>
        <v>-7991138.1237500003</v>
      </c>
      <c r="T298" s="572"/>
      <c r="U298" s="607"/>
      <c r="V298" s="607"/>
      <c r="W298" s="585"/>
      <c r="X298" s="608">
        <f>S298</f>
        <v>-7991138.1237500003</v>
      </c>
      <c r="Y298" s="585"/>
      <c r="Z298" s="585"/>
    </row>
    <row r="299" spans="1:26">
      <c r="A299" s="568" t="s">
        <v>815</v>
      </c>
      <c r="B299" s="568" t="s">
        <v>398</v>
      </c>
      <c r="C299" s="593">
        <v>290</v>
      </c>
      <c r="D299" s="568" t="str">
        <f>+A299</f>
        <v>2300</v>
      </c>
      <c r="E299" s="650" t="s">
        <v>816</v>
      </c>
      <c r="F299" s="596">
        <v>-50960517</v>
      </c>
      <c r="G299" s="678">
        <v>-50963872.890000001</v>
      </c>
      <c r="H299" s="598">
        <v>-50967246.25</v>
      </c>
      <c r="I299" s="598">
        <v>-51422476.130000003</v>
      </c>
      <c r="J299" s="599">
        <v>-51425884.640000001</v>
      </c>
      <c r="K299" s="600">
        <v>-51429310.859999999</v>
      </c>
      <c r="L299" s="601">
        <v>-51455189.93</v>
      </c>
      <c r="M299" s="602">
        <v>-51458651.880000003</v>
      </c>
      <c r="N299" s="603">
        <v>-52893394.299999997</v>
      </c>
      <c r="O299" s="604">
        <v>-53140104.700000003</v>
      </c>
      <c r="P299" s="605">
        <v>-53387966.060000002</v>
      </c>
      <c r="Q299" s="679">
        <v>-53636983.840000004</v>
      </c>
      <c r="R299" s="596">
        <v>-54807880</v>
      </c>
      <c r="S299" s="598">
        <f t="shared" si="42"/>
        <v>-52088773.331666671</v>
      </c>
      <c r="T299" s="572"/>
      <c r="U299" s="607"/>
      <c r="V299" s="608">
        <f>+S299</f>
        <v>-52088773.331666671</v>
      </c>
      <c r="W299" s="607"/>
      <c r="X299" s="607"/>
      <c r="Y299" s="585"/>
      <c r="Z299" s="585"/>
    </row>
    <row r="300" spans="1:26">
      <c r="A300" s="568" t="s">
        <v>809</v>
      </c>
      <c r="B300" s="568" t="s">
        <v>669</v>
      </c>
      <c r="C300" s="593">
        <v>291</v>
      </c>
      <c r="D300" s="570" t="str">
        <f>A300&amp;"."&amp;B300</f>
        <v>2440.2</v>
      </c>
      <c r="E300" s="650" t="s">
        <v>559</v>
      </c>
      <c r="F300" s="596">
        <v>0</v>
      </c>
      <c r="G300" s="678">
        <v>0</v>
      </c>
      <c r="H300" s="598">
        <v>0</v>
      </c>
      <c r="I300" s="598">
        <v>0</v>
      </c>
      <c r="J300" s="599">
        <v>0</v>
      </c>
      <c r="K300" s="600">
        <v>0</v>
      </c>
      <c r="L300" s="601">
        <v>0</v>
      </c>
      <c r="M300" s="602">
        <v>0</v>
      </c>
      <c r="N300" s="603">
        <v>0</v>
      </c>
      <c r="O300" s="604">
        <v>0</v>
      </c>
      <c r="P300" s="605">
        <v>0</v>
      </c>
      <c r="Q300" s="679">
        <v>0</v>
      </c>
      <c r="R300" s="596">
        <v>0</v>
      </c>
      <c r="S300" s="598">
        <f t="shared" si="42"/>
        <v>0</v>
      </c>
      <c r="T300" s="572"/>
      <c r="U300" s="607"/>
      <c r="V300" s="607"/>
      <c r="W300" s="607"/>
      <c r="X300" s="607"/>
      <c r="Y300" s="585"/>
      <c r="Z300" s="585"/>
    </row>
    <row r="301" spans="1:26">
      <c r="A301" s="568" t="s">
        <v>817</v>
      </c>
      <c r="B301" s="568" t="s">
        <v>398</v>
      </c>
      <c r="C301" s="593">
        <v>292</v>
      </c>
      <c r="D301" s="568" t="str">
        <f>+A301</f>
        <v>2520</v>
      </c>
      <c r="E301" s="650" t="s">
        <v>364</v>
      </c>
      <c r="F301" s="596">
        <v>-4075228.98</v>
      </c>
      <c r="G301" s="678">
        <v>-4098682.77</v>
      </c>
      <c r="H301" s="598">
        <v>-4095410.71</v>
      </c>
      <c r="I301" s="598">
        <v>-4039199.59</v>
      </c>
      <c r="J301" s="599">
        <v>-4033929.41</v>
      </c>
      <c r="K301" s="600">
        <v>-4025529.28</v>
      </c>
      <c r="L301" s="601">
        <v>-3934624.3</v>
      </c>
      <c r="M301" s="602">
        <v>-4597333.84</v>
      </c>
      <c r="N301" s="603">
        <v>-4657385.4400000004</v>
      </c>
      <c r="O301" s="604">
        <v>-4568510.25</v>
      </c>
      <c r="P301" s="605">
        <v>-4564342.22</v>
      </c>
      <c r="Q301" s="679">
        <v>-4498773.34</v>
      </c>
      <c r="R301" s="596">
        <v>-4482129.79</v>
      </c>
      <c r="S301" s="598">
        <f t="shared" si="42"/>
        <v>-4282700.0445833337</v>
      </c>
      <c r="T301" s="572"/>
      <c r="U301" s="607"/>
      <c r="V301" s="608">
        <f>S301</f>
        <v>-4282700.0445833337</v>
      </c>
      <c r="W301" s="607"/>
      <c r="X301" s="607"/>
      <c r="Y301" s="585"/>
      <c r="Z301" s="585"/>
    </row>
    <row r="302" spans="1:26">
      <c r="A302" s="568" t="s">
        <v>804</v>
      </c>
      <c r="B302" s="568" t="s">
        <v>818</v>
      </c>
      <c r="C302" s="593">
        <v>293</v>
      </c>
      <c r="D302" s="705" t="str">
        <f t="shared" ref="D302:D310" si="46">A302&amp;"."&amp;B302</f>
        <v>2530.[02*,/02008,/02009,/02010]</v>
      </c>
      <c r="E302" s="650" t="s">
        <v>819</v>
      </c>
      <c r="F302" s="596">
        <v>0</v>
      </c>
      <c r="G302" s="678">
        <v>0</v>
      </c>
      <c r="H302" s="598">
        <v>0</v>
      </c>
      <c r="I302" s="598">
        <v>0</v>
      </c>
      <c r="J302" s="599">
        <v>0</v>
      </c>
      <c r="K302" s="600">
        <v>0</v>
      </c>
      <c r="L302" s="601">
        <v>0</v>
      </c>
      <c r="M302" s="602">
        <v>0</v>
      </c>
      <c r="N302" s="603">
        <v>0</v>
      </c>
      <c r="O302" s="604">
        <v>0</v>
      </c>
      <c r="P302" s="605">
        <v>0</v>
      </c>
      <c r="Q302" s="679">
        <v>0</v>
      </c>
      <c r="R302" s="596">
        <v>0</v>
      </c>
      <c r="S302" s="598">
        <f t="shared" si="42"/>
        <v>0</v>
      </c>
      <c r="T302" s="572"/>
      <c r="U302" s="607"/>
      <c r="V302" s="607"/>
      <c r="W302" s="607"/>
      <c r="X302" s="607"/>
      <c r="Y302" s="585"/>
      <c r="Z302" s="585"/>
    </row>
    <row r="303" spans="1:26">
      <c r="A303" s="568" t="s">
        <v>804</v>
      </c>
      <c r="B303" s="568" t="s">
        <v>820</v>
      </c>
      <c r="C303" s="593">
        <v>294</v>
      </c>
      <c r="D303" s="705" t="str">
        <f t="shared" si="46"/>
        <v>2530.[02010]</v>
      </c>
      <c r="E303" s="595" t="s">
        <v>821</v>
      </c>
      <c r="F303" s="596">
        <v>0</v>
      </c>
      <c r="G303" s="678">
        <v>0</v>
      </c>
      <c r="H303" s="598">
        <v>0</v>
      </c>
      <c r="I303" s="598">
        <v>0</v>
      </c>
      <c r="J303" s="599">
        <v>0</v>
      </c>
      <c r="K303" s="600">
        <v>0</v>
      </c>
      <c r="L303" s="601">
        <v>0</v>
      </c>
      <c r="M303" s="602">
        <v>0</v>
      </c>
      <c r="N303" s="603">
        <v>0</v>
      </c>
      <c r="O303" s="604">
        <v>0</v>
      </c>
      <c r="P303" s="605">
        <v>0</v>
      </c>
      <c r="Q303" s="679">
        <v>0</v>
      </c>
      <c r="R303" s="596">
        <v>0</v>
      </c>
      <c r="S303" s="598">
        <f t="shared" si="42"/>
        <v>0</v>
      </c>
      <c r="T303" s="572"/>
      <c r="U303" s="607"/>
      <c r="V303" s="607"/>
      <c r="W303" s="607"/>
      <c r="X303" s="607"/>
      <c r="Y303" s="585"/>
      <c r="Z303" s="585"/>
    </row>
    <row r="304" spans="1:26">
      <c r="A304" s="568" t="s">
        <v>804</v>
      </c>
      <c r="B304" s="568" t="s">
        <v>800</v>
      </c>
      <c r="C304" s="593">
        <v>295</v>
      </c>
      <c r="D304" s="705" t="str">
        <f t="shared" si="46"/>
        <v>2530.03*</v>
      </c>
      <c r="E304" s="650" t="s">
        <v>822</v>
      </c>
      <c r="F304" s="596">
        <v>0</v>
      </c>
      <c r="G304" s="678">
        <v>0</v>
      </c>
      <c r="H304" s="598">
        <v>0</v>
      </c>
      <c r="I304" s="598">
        <v>0</v>
      </c>
      <c r="J304" s="599">
        <v>0</v>
      </c>
      <c r="K304" s="600">
        <v>0</v>
      </c>
      <c r="L304" s="601">
        <v>0</v>
      </c>
      <c r="M304" s="602">
        <v>0</v>
      </c>
      <c r="N304" s="603">
        <v>0</v>
      </c>
      <c r="O304" s="604">
        <v>0</v>
      </c>
      <c r="P304" s="605">
        <v>0</v>
      </c>
      <c r="Q304" s="679">
        <v>0</v>
      </c>
      <c r="R304" s="596">
        <v>0</v>
      </c>
      <c r="S304" s="598">
        <f t="shared" si="42"/>
        <v>0</v>
      </c>
      <c r="T304" s="572"/>
      <c r="U304" s="607"/>
      <c r="V304" s="607"/>
      <c r="W304" s="607"/>
      <c r="X304" s="607"/>
      <c r="Y304" s="585"/>
      <c r="Z304" s="585"/>
    </row>
    <row r="305" spans="1:26">
      <c r="A305" s="568" t="s">
        <v>823</v>
      </c>
      <c r="B305" s="568" t="s">
        <v>824</v>
      </c>
      <c r="C305" s="593">
        <v>296</v>
      </c>
      <c r="D305" s="570" t="str">
        <f t="shared" si="46"/>
        <v>2539.[/0104*,/0107*,/0108*]</v>
      </c>
      <c r="E305" s="650" t="s">
        <v>825</v>
      </c>
      <c r="F305" s="596">
        <v>-123410.16</v>
      </c>
      <c r="G305" s="678">
        <v>-123418.88</v>
      </c>
      <c r="H305" s="598">
        <v>-123431.56</v>
      </c>
      <c r="I305" s="598">
        <v>-123350.1</v>
      </c>
      <c r="J305" s="599">
        <v>-123365.47</v>
      </c>
      <c r="K305" s="600">
        <v>-126204.69</v>
      </c>
      <c r="L305" s="601">
        <v>-125721.45</v>
      </c>
      <c r="M305" s="602">
        <v>-125505.33</v>
      </c>
      <c r="N305" s="603">
        <v>-125523.17</v>
      </c>
      <c r="O305" s="604">
        <v>-101413.37</v>
      </c>
      <c r="P305" s="605">
        <v>-99364.11</v>
      </c>
      <c r="Q305" s="679">
        <v>-99440.81</v>
      </c>
      <c r="R305" s="596">
        <v>-99457.919999999998</v>
      </c>
      <c r="S305" s="598">
        <f t="shared" si="42"/>
        <v>-117347.74833333335</v>
      </c>
      <c r="T305" s="572"/>
      <c r="U305" s="607"/>
      <c r="V305" s="607"/>
      <c r="W305" s="607"/>
      <c r="X305" s="607"/>
      <c r="Y305" s="585"/>
      <c r="Z305" s="585"/>
    </row>
    <row r="306" spans="1:26">
      <c r="A306" s="568" t="s">
        <v>823</v>
      </c>
      <c r="B306" s="706" t="s">
        <v>826</v>
      </c>
      <c r="C306" s="593">
        <v>297</v>
      </c>
      <c r="D306" s="570" t="str">
        <f t="shared" si="46"/>
        <v>2539.[0104*,0107*,0108*]</v>
      </c>
      <c r="E306" s="650" t="s">
        <v>827</v>
      </c>
      <c r="F306" s="596">
        <v>-15367277.689999999</v>
      </c>
      <c r="G306" s="678">
        <v>-15344145.109999999</v>
      </c>
      <c r="H306" s="598">
        <v>-15321012.52</v>
      </c>
      <c r="I306" s="598">
        <v>-15297879.939999999</v>
      </c>
      <c r="J306" s="599">
        <v>-15274747.359999999</v>
      </c>
      <c r="K306" s="600">
        <v>-15293682.27</v>
      </c>
      <c r="L306" s="601">
        <v>-15278945.93</v>
      </c>
      <c r="M306" s="602">
        <v>-15264226.85</v>
      </c>
      <c r="N306" s="603">
        <v>-15249507.77</v>
      </c>
      <c r="O306" s="604">
        <v>-15234788.689999999</v>
      </c>
      <c r="P306" s="605">
        <v>-15220069.609999999</v>
      </c>
      <c r="Q306" s="679">
        <v>-15205350.529999999</v>
      </c>
      <c r="R306" s="596">
        <v>-13256373.689999999</v>
      </c>
      <c r="S306" s="598">
        <f t="shared" si="42"/>
        <v>-15191348.522500001</v>
      </c>
      <c r="T306" s="572"/>
      <c r="U306" s="607"/>
      <c r="V306" s="607"/>
      <c r="W306" s="585"/>
      <c r="X306" s="608">
        <f>S306</f>
        <v>-15191348.522500001</v>
      </c>
      <c r="Y306" s="585"/>
      <c r="Z306" s="585"/>
    </row>
    <row r="307" spans="1:26">
      <c r="A307" s="568" t="s">
        <v>828</v>
      </c>
      <c r="B307" s="568" t="s">
        <v>829</v>
      </c>
      <c r="C307" s="593">
        <v>298</v>
      </c>
      <c r="D307" s="705" t="str">
        <f t="shared" si="46"/>
        <v>2540.20222</v>
      </c>
      <c r="E307" s="568" t="s">
        <v>830</v>
      </c>
      <c r="F307" s="596">
        <v>-847148</v>
      </c>
      <c r="G307" s="678">
        <v>-847148</v>
      </c>
      <c r="H307" s="598">
        <v>-847148</v>
      </c>
      <c r="I307" s="598">
        <v>-847148</v>
      </c>
      <c r="J307" s="599">
        <v>-847148</v>
      </c>
      <c r="K307" s="600">
        <v>-847148</v>
      </c>
      <c r="L307" s="601">
        <v>-847148</v>
      </c>
      <c r="M307" s="602">
        <v>-847148</v>
      </c>
      <c r="N307" s="603">
        <v>-847148</v>
      </c>
      <c r="O307" s="604">
        <v>-847148</v>
      </c>
      <c r="P307" s="605">
        <v>-847148</v>
      </c>
      <c r="Q307" s="679">
        <v>-847148</v>
      </c>
      <c r="R307" s="596">
        <v>-1238067</v>
      </c>
      <c r="S307" s="598">
        <f t="shared" si="42"/>
        <v>-863436.29166666663</v>
      </c>
      <c r="T307" s="572"/>
      <c r="U307" s="607"/>
      <c r="V307" s="607"/>
      <c r="W307" s="585"/>
      <c r="X307" s="608">
        <f>S307</f>
        <v>-863436.29166666663</v>
      </c>
      <c r="Y307" s="585"/>
      <c r="Z307" s="585"/>
    </row>
    <row r="308" spans="1:26">
      <c r="A308" s="568" t="s">
        <v>828</v>
      </c>
      <c r="B308" s="568" t="s">
        <v>831</v>
      </c>
      <c r="C308" s="593">
        <v>299</v>
      </c>
      <c r="D308" s="570" t="str">
        <f t="shared" si="46"/>
        <v>2540.[20201*]</v>
      </c>
      <c r="E308" s="650" t="s">
        <v>832</v>
      </c>
      <c r="F308" s="596">
        <v>-2737401.56</v>
      </c>
      <c r="G308" s="678">
        <v>-2710317.16</v>
      </c>
      <c r="H308" s="598">
        <v>-2683232.7400000002</v>
      </c>
      <c r="I308" s="598">
        <v>-2645898.7999999998</v>
      </c>
      <c r="J308" s="599">
        <v>-2615397.63</v>
      </c>
      <c r="K308" s="600">
        <v>-2584896.4300000002</v>
      </c>
      <c r="L308" s="601">
        <v>-2553146.7999999998</v>
      </c>
      <c r="M308" s="602">
        <v>-2522437.54</v>
      </c>
      <c r="N308" s="603">
        <v>-2491728.2799999998</v>
      </c>
      <c r="O308" s="604">
        <v>-2552522.0099999998</v>
      </c>
      <c r="P308" s="605">
        <v>-2531979.75</v>
      </c>
      <c r="Q308" s="679">
        <v>-2546370.5600000001</v>
      </c>
      <c r="R308" s="596">
        <v>-2588762.79</v>
      </c>
      <c r="S308" s="598">
        <f t="shared" si="42"/>
        <v>-2591750.8229166665</v>
      </c>
      <c r="T308" s="572"/>
      <c r="U308" s="607"/>
      <c r="V308" s="607"/>
      <c r="W308" s="585"/>
      <c r="X308" s="608">
        <f>S308</f>
        <v>-2591750.8229166665</v>
      </c>
      <c r="Y308" s="585"/>
      <c r="Z308" s="585"/>
    </row>
    <row r="309" spans="1:26">
      <c r="A309" s="568" t="s">
        <v>828</v>
      </c>
      <c r="B309" s="568" t="s">
        <v>833</v>
      </c>
      <c r="C309" s="593">
        <v>300</v>
      </c>
      <c r="D309" s="570" t="str">
        <f t="shared" si="46"/>
        <v>2540.[/20211,/20201*,/20222]</v>
      </c>
      <c r="E309" s="568" t="s">
        <v>834</v>
      </c>
      <c r="F309" s="596">
        <v>49444.46</v>
      </c>
      <c r="G309" s="678">
        <v>49444.44</v>
      </c>
      <c r="H309" s="598">
        <v>49444.53</v>
      </c>
      <c r="I309" s="598">
        <v>49403.66</v>
      </c>
      <c r="J309" s="599">
        <v>49403.56</v>
      </c>
      <c r="K309" s="600">
        <v>49403.6</v>
      </c>
      <c r="L309" s="601">
        <v>49403.64</v>
      </c>
      <c r="M309" s="602">
        <v>49403.69</v>
      </c>
      <c r="N309" s="603">
        <v>49403.69</v>
      </c>
      <c r="O309" s="604">
        <v>49403.73</v>
      </c>
      <c r="P309" s="605">
        <v>49403.76</v>
      </c>
      <c r="Q309" s="679">
        <v>49444.68</v>
      </c>
      <c r="R309" s="596">
        <v>-267245.51</v>
      </c>
      <c r="S309" s="598">
        <f t="shared" si="42"/>
        <v>36221.871249999997</v>
      </c>
      <c r="T309" s="572"/>
      <c r="U309" s="607"/>
      <c r="V309" s="607"/>
      <c r="W309" s="607"/>
      <c r="X309" s="607"/>
      <c r="Y309" s="585"/>
      <c r="Z309" s="585"/>
    </row>
    <row r="310" spans="1:26">
      <c r="A310" s="568" t="s">
        <v>828</v>
      </c>
      <c r="B310" s="568" t="s">
        <v>835</v>
      </c>
      <c r="C310" s="593">
        <v>301</v>
      </c>
      <c r="D310" s="570" t="str">
        <f t="shared" si="46"/>
        <v>2540.[20211]</v>
      </c>
      <c r="E310" s="595" t="s">
        <v>821</v>
      </c>
      <c r="F310" s="596">
        <v>0</v>
      </c>
      <c r="G310" s="678">
        <v>0</v>
      </c>
      <c r="H310" s="598">
        <v>0</v>
      </c>
      <c r="I310" s="598">
        <v>0</v>
      </c>
      <c r="J310" s="599">
        <v>0</v>
      </c>
      <c r="K310" s="600">
        <v>0</v>
      </c>
      <c r="L310" s="601">
        <v>0</v>
      </c>
      <c r="M310" s="602">
        <v>0</v>
      </c>
      <c r="N310" s="603">
        <v>0</v>
      </c>
      <c r="O310" s="604">
        <v>0</v>
      </c>
      <c r="P310" s="605">
        <v>0</v>
      </c>
      <c r="Q310" s="679">
        <v>0</v>
      </c>
      <c r="R310" s="596">
        <v>0</v>
      </c>
      <c r="S310" s="598">
        <f t="shared" si="42"/>
        <v>0</v>
      </c>
      <c r="T310" s="572"/>
      <c r="U310" s="607"/>
      <c r="V310" s="607"/>
      <c r="W310" s="607"/>
      <c r="X310" s="607"/>
      <c r="Y310" s="585"/>
      <c r="Z310" s="585"/>
    </row>
    <row r="311" spans="1:26">
      <c r="A311" s="568" t="s">
        <v>506</v>
      </c>
      <c r="B311" s="568" t="s">
        <v>1000</v>
      </c>
      <c r="C311" s="593">
        <v>302</v>
      </c>
      <c r="D311" s="570" t="s">
        <v>1001</v>
      </c>
      <c r="E311" s="596" t="s">
        <v>1002</v>
      </c>
      <c r="F311" s="596">
        <v>39302214</v>
      </c>
      <c r="G311" s="678">
        <v>39302214</v>
      </c>
      <c r="H311" s="598">
        <v>39302214</v>
      </c>
      <c r="I311" s="598">
        <v>39738439</v>
      </c>
      <c r="J311" s="599">
        <v>39738439</v>
      </c>
      <c r="K311" s="600">
        <v>39738439</v>
      </c>
      <c r="L311" s="601">
        <v>39670780</v>
      </c>
      <c r="M311" s="602">
        <v>39670780</v>
      </c>
      <c r="N311" s="603">
        <v>41382440.039999999</v>
      </c>
      <c r="O311" s="604">
        <v>41654121.939999998</v>
      </c>
      <c r="P311" s="605">
        <v>41919650.920000002</v>
      </c>
      <c r="Q311" s="679">
        <v>42186336.280000001</v>
      </c>
      <c r="R311" s="596">
        <v>42170920.5</v>
      </c>
      <c r="S311" s="598">
        <f t="shared" si="42"/>
        <v>40420035.119166672</v>
      </c>
      <c r="T311" s="572"/>
      <c r="U311" s="607"/>
      <c r="V311" s="608">
        <f>+S311</f>
        <v>40420035.119166672</v>
      </c>
      <c r="W311" s="607"/>
      <c r="X311" s="607"/>
      <c r="Y311" s="585"/>
      <c r="Z311" s="585"/>
    </row>
    <row r="312" spans="1:26">
      <c r="A312" s="568"/>
      <c r="B312" s="568"/>
      <c r="C312" s="593">
        <v>303</v>
      </c>
      <c r="D312" s="570"/>
      <c r="E312" s="611" t="s">
        <v>836</v>
      </c>
      <c r="F312" s="620">
        <f>SUM(F297:F311)</f>
        <v>-57048750.620000005</v>
      </c>
      <c r="G312" s="620">
        <f t="shared" ref="G312:S312" si="47">SUM(G297:G311)</f>
        <v>-57037875.809999987</v>
      </c>
      <c r="H312" s="620">
        <f t="shared" si="47"/>
        <v>-57045916.439999983</v>
      </c>
      <c r="I312" s="620">
        <f t="shared" si="47"/>
        <v>-56953022.820000008</v>
      </c>
      <c r="J312" s="620">
        <f t="shared" si="47"/>
        <v>-56946134.549999997</v>
      </c>
      <c r="K312" s="620">
        <f t="shared" si="47"/>
        <v>-56944140.24000001</v>
      </c>
      <c r="L312" s="620">
        <f t="shared" si="47"/>
        <v>-56943600.479999989</v>
      </c>
      <c r="M312" s="620">
        <f t="shared" si="47"/>
        <v>-57603456.820000008</v>
      </c>
      <c r="N312" s="620">
        <f t="shared" si="47"/>
        <v>-57295852.18</v>
      </c>
      <c r="O312" s="620">
        <f t="shared" si="47"/>
        <v>-57262225.970000014</v>
      </c>
      <c r="P312" s="620">
        <f t="shared" si="47"/>
        <v>-57224168.289999992</v>
      </c>
      <c r="Q312" s="620">
        <f t="shared" si="47"/>
        <v>-57089476.540000007</v>
      </c>
      <c r="R312" s="620">
        <f t="shared" si="47"/>
        <v>-56355398.26000002</v>
      </c>
      <c r="S312" s="620">
        <f t="shared" si="47"/>
        <v>-57087328.715000004</v>
      </c>
      <c r="T312" s="572"/>
      <c r="U312" s="607"/>
      <c r="V312" s="607"/>
      <c r="W312" s="607"/>
      <c r="X312" s="608">
        <f>S312-S301-S298-S306-S307-S308-S299-S311</f>
        <v>-14498216.697083332</v>
      </c>
      <c r="Y312" s="585"/>
      <c r="Z312" s="585"/>
    </row>
    <row r="313" spans="1:26">
      <c r="A313" s="568"/>
      <c r="B313" s="568"/>
      <c r="C313" s="593">
        <v>304</v>
      </c>
      <c r="D313" s="570"/>
      <c r="E313" s="650"/>
      <c r="F313" s="596"/>
      <c r="G313" s="678"/>
      <c r="H313" s="598"/>
      <c r="I313" s="598"/>
      <c r="J313" s="599"/>
      <c r="K313" s="600"/>
      <c r="L313" s="601"/>
      <c r="M313" s="602"/>
      <c r="N313" s="603"/>
      <c r="O313" s="604"/>
      <c r="P313" s="605"/>
      <c r="Q313" s="679"/>
      <c r="R313" s="596"/>
      <c r="S313" s="598">
        <f t="shared" si="42"/>
        <v>0</v>
      </c>
      <c r="T313" s="572"/>
      <c r="U313" s="607"/>
      <c r="V313" s="607"/>
      <c r="W313" s="607"/>
      <c r="X313" s="607"/>
      <c r="Y313" s="585"/>
      <c r="Z313" s="585"/>
    </row>
    <row r="314" spans="1:26">
      <c r="A314" s="592" t="s">
        <v>837</v>
      </c>
      <c r="B314" s="592" t="s">
        <v>398</v>
      </c>
      <c r="C314" s="593">
        <v>305</v>
      </c>
      <c r="D314" s="592" t="str">
        <f>+A314</f>
        <v>2550</v>
      </c>
      <c r="E314" s="650" t="s">
        <v>838</v>
      </c>
      <c r="F314" s="596">
        <v>-373122</v>
      </c>
      <c r="G314" s="678">
        <v>-368995.92</v>
      </c>
      <c r="H314" s="598">
        <v>-364869.83</v>
      </c>
      <c r="I314" s="598">
        <v>-360743.75</v>
      </c>
      <c r="J314" s="599">
        <v>-356617.67</v>
      </c>
      <c r="K314" s="600">
        <v>-352491.58</v>
      </c>
      <c r="L314" s="601">
        <v>-348718</v>
      </c>
      <c r="M314" s="602">
        <v>-344650.67</v>
      </c>
      <c r="N314" s="603">
        <v>-340583.33</v>
      </c>
      <c r="O314" s="604">
        <v>-336516</v>
      </c>
      <c r="P314" s="605">
        <v>-332448.67</v>
      </c>
      <c r="Q314" s="679">
        <v>-328355.33</v>
      </c>
      <c r="R314" s="596">
        <v>-324288</v>
      </c>
      <c r="S314" s="598">
        <f t="shared" si="42"/>
        <v>-348641.3125</v>
      </c>
      <c r="T314" s="572"/>
      <c r="U314" s="607"/>
      <c r="V314" s="608">
        <f>S314</f>
        <v>-348641.3125</v>
      </c>
      <c r="W314" s="607"/>
      <c r="X314" s="607"/>
      <c r="Y314" s="585"/>
      <c r="Z314" s="585"/>
    </row>
    <row r="315" spans="1:26">
      <c r="A315" s="592" t="s">
        <v>839</v>
      </c>
      <c r="B315" s="592" t="s">
        <v>398</v>
      </c>
      <c r="C315" s="593">
        <v>306</v>
      </c>
      <c r="D315" s="592" t="str">
        <f>+A315</f>
        <v>2820</v>
      </c>
      <c r="E315" s="650" t="s">
        <v>840</v>
      </c>
      <c r="F315" s="596">
        <v>-96815259.790000007</v>
      </c>
      <c r="G315" s="678">
        <v>-96798119.579999998</v>
      </c>
      <c r="H315" s="598">
        <v>-96780979.340000004</v>
      </c>
      <c r="I315" s="598">
        <v>-97223385.599999994</v>
      </c>
      <c r="J315" s="599">
        <v>-97097374.659999996</v>
      </c>
      <c r="K315" s="600">
        <v>-96971363.799999997</v>
      </c>
      <c r="L315" s="601">
        <v>-97181324.890000001</v>
      </c>
      <c r="M315" s="602">
        <v>-97111309.340000004</v>
      </c>
      <c r="N315" s="603">
        <v>-97041293.75</v>
      </c>
      <c r="O315" s="604">
        <v>-98273089.640000001</v>
      </c>
      <c r="P315" s="605">
        <v>-98347719.810000002</v>
      </c>
      <c r="Q315" s="679">
        <v>-100118820.7</v>
      </c>
      <c r="R315" s="596">
        <v>-100067346.12</v>
      </c>
      <c r="S315" s="598">
        <f t="shared" si="42"/>
        <v>-97615507.005416676</v>
      </c>
      <c r="T315" s="572"/>
      <c r="U315" s="607"/>
      <c r="V315" s="608">
        <f>S315</f>
        <v>-97615507.005416676</v>
      </c>
      <c r="W315" s="607"/>
      <c r="X315" s="607"/>
      <c r="Y315" s="585"/>
      <c r="Z315" s="585"/>
    </row>
    <row r="316" spans="1:26">
      <c r="A316" s="592" t="s">
        <v>841</v>
      </c>
      <c r="B316" s="592" t="s">
        <v>398</v>
      </c>
      <c r="C316" s="593">
        <v>307</v>
      </c>
      <c r="D316" s="592" t="str">
        <f>+A316</f>
        <v>2830</v>
      </c>
      <c r="E316" s="650" t="s">
        <v>842</v>
      </c>
      <c r="F316" s="596">
        <v>-36786388.119999997</v>
      </c>
      <c r="G316" s="678">
        <v>-36797682.920000002</v>
      </c>
      <c r="H316" s="598">
        <v>-36808977.82</v>
      </c>
      <c r="I316" s="598">
        <v>-37065961.369999997</v>
      </c>
      <c r="J316" s="599">
        <v>-37077311.259999998</v>
      </c>
      <c r="K316" s="600">
        <v>-37088661.189999998</v>
      </c>
      <c r="L316" s="601">
        <v>-37083468.740000002</v>
      </c>
      <c r="M316" s="602">
        <v>-37092066.420000002</v>
      </c>
      <c r="N316" s="603">
        <v>-37100664.079999998</v>
      </c>
      <c r="O316" s="604">
        <v>-36995176.82</v>
      </c>
      <c r="P316" s="605">
        <v>-36991101.07</v>
      </c>
      <c r="Q316" s="679">
        <v>-36987025.399999999</v>
      </c>
      <c r="R316" s="596">
        <v>-36157095.619999997</v>
      </c>
      <c r="S316" s="598">
        <f t="shared" si="42"/>
        <v>-36963319.913333334</v>
      </c>
      <c r="T316" s="572"/>
      <c r="U316" s="607"/>
      <c r="V316" s="607"/>
      <c r="W316" s="585"/>
      <c r="X316" s="608">
        <f>S316</f>
        <v>-36963319.913333334</v>
      </c>
      <c r="Y316" s="585"/>
      <c r="Z316" s="585"/>
    </row>
    <row r="317" spans="1:26">
      <c r="A317" s="592"/>
      <c r="B317" s="592"/>
      <c r="C317" s="593">
        <v>308</v>
      </c>
      <c r="D317" s="594"/>
      <c r="E317" s="650"/>
      <c r="F317" s="596"/>
      <c r="G317" s="678"/>
      <c r="H317" s="598"/>
      <c r="I317" s="598"/>
      <c r="J317" s="599"/>
      <c r="K317" s="600"/>
      <c r="L317" s="601"/>
      <c r="M317" s="602"/>
      <c r="N317" s="603"/>
      <c r="O317" s="604"/>
      <c r="P317" s="605"/>
      <c r="Q317" s="679"/>
      <c r="R317" s="596"/>
      <c r="S317" s="598">
        <f t="shared" si="42"/>
        <v>0</v>
      </c>
      <c r="T317" s="572"/>
      <c r="U317" s="607"/>
      <c r="V317" s="607"/>
      <c r="W317" s="607"/>
      <c r="X317" s="607"/>
      <c r="Y317" s="585"/>
      <c r="Z317" s="585"/>
    </row>
    <row r="318" spans="1:26">
      <c r="A318" s="592"/>
      <c r="B318" s="592"/>
      <c r="C318" s="593">
        <v>309</v>
      </c>
      <c r="D318" s="594"/>
      <c r="E318" s="650" t="s">
        <v>843</v>
      </c>
      <c r="F318" s="620">
        <f>SUM(F314:F316)</f>
        <v>-133974769.91</v>
      </c>
      <c r="G318" s="620">
        <f t="shared" ref="G318:S318" si="48">SUM(G314:G316)</f>
        <v>-133964798.42</v>
      </c>
      <c r="H318" s="620">
        <f t="shared" si="48"/>
        <v>-133954826.99000001</v>
      </c>
      <c r="I318" s="620">
        <f t="shared" si="48"/>
        <v>-134650090.72</v>
      </c>
      <c r="J318" s="620">
        <f t="shared" si="48"/>
        <v>-134531303.59</v>
      </c>
      <c r="K318" s="620">
        <f t="shared" si="48"/>
        <v>-134412516.56999999</v>
      </c>
      <c r="L318" s="620">
        <f t="shared" si="48"/>
        <v>-134613511.63</v>
      </c>
      <c r="M318" s="620">
        <f t="shared" si="48"/>
        <v>-134548026.43000001</v>
      </c>
      <c r="N318" s="620">
        <f t="shared" si="48"/>
        <v>-134482541.16</v>
      </c>
      <c r="O318" s="620">
        <f t="shared" si="48"/>
        <v>-135604782.46000001</v>
      </c>
      <c r="P318" s="620">
        <f t="shared" si="48"/>
        <v>-135671269.55000001</v>
      </c>
      <c r="Q318" s="620">
        <f t="shared" si="48"/>
        <v>-137434201.43000001</v>
      </c>
      <c r="R318" s="620">
        <f t="shared" si="48"/>
        <v>-136548729.74000001</v>
      </c>
      <c r="S318" s="620">
        <f t="shared" si="48"/>
        <v>-134927468.23125002</v>
      </c>
      <c r="T318" s="572"/>
      <c r="U318" s="607"/>
      <c r="V318" s="608"/>
      <c r="W318" s="607"/>
      <c r="X318" s="608"/>
      <c r="Y318" s="585"/>
      <c r="Z318" s="585"/>
    </row>
    <row r="319" spans="1:26">
      <c r="A319" s="592"/>
      <c r="B319" s="592"/>
      <c r="C319" s="593">
        <v>310</v>
      </c>
      <c r="D319" s="594"/>
      <c r="E319" s="650"/>
      <c r="F319" s="596"/>
      <c r="G319" s="678"/>
      <c r="H319" s="598"/>
      <c r="I319" s="598"/>
      <c r="J319" s="599"/>
      <c r="K319" s="600"/>
      <c r="L319" s="601"/>
      <c r="M319" s="602"/>
      <c r="N319" s="603"/>
      <c r="O319" s="621"/>
      <c r="P319" s="605"/>
      <c r="Q319" s="679"/>
      <c r="R319" s="596"/>
      <c r="S319" s="598">
        <f t="shared" si="42"/>
        <v>0</v>
      </c>
      <c r="T319" s="572"/>
      <c r="U319" s="607"/>
      <c r="V319" s="607"/>
      <c r="W319" s="607"/>
      <c r="X319" s="607"/>
      <c r="Y319" s="572"/>
      <c r="Z319" s="585"/>
    </row>
    <row r="320" spans="1:26">
      <c r="A320" s="592" t="s">
        <v>844</v>
      </c>
      <c r="B320" s="592" t="s">
        <v>398</v>
      </c>
      <c r="C320" s="593">
        <v>311</v>
      </c>
      <c r="D320" s="592" t="str">
        <f t="shared" ref="D320:D329" si="49">+A320</f>
        <v>4002</v>
      </c>
      <c r="E320" s="650" t="s">
        <v>845</v>
      </c>
      <c r="F320" s="596">
        <v>-259415782.06999999</v>
      </c>
      <c r="G320" s="678">
        <v>-45323066.640000001</v>
      </c>
      <c r="H320" s="598">
        <v>-80057653.469999999</v>
      </c>
      <c r="I320" s="598">
        <v>-111374897.91</v>
      </c>
      <c r="J320" s="599">
        <v>-133185623.67</v>
      </c>
      <c r="K320" s="600">
        <v>-145688899.18000001</v>
      </c>
      <c r="L320" s="601">
        <v>-156892353.78999999</v>
      </c>
      <c r="M320" s="602">
        <v>-165904168.34</v>
      </c>
      <c r="N320" s="603">
        <v>-174315533.75</v>
      </c>
      <c r="O320" s="621">
        <v>-183043818.47999999</v>
      </c>
      <c r="P320" s="605">
        <v>-194186177.81</v>
      </c>
      <c r="Q320" s="679">
        <v>-212005979.94</v>
      </c>
      <c r="R320" s="596">
        <v>-239183463.71000001</v>
      </c>
      <c r="S320" s="598">
        <f t="shared" si="42"/>
        <v>-154273149.65583333</v>
      </c>
      <c r="T320" s="572"/>
      <c r="U320" s="607"/>
      <c r="V320" s="607"/>
      <c r="W320" s="607"/>
      <c r="X320" s="607"/>
      <c r="Y320" s="572"/>
      <c r="Z320" s="585"/>
    </row>
    <row r="321" spans="1:26">
      <c r="A321" s="592" t="s">
        <v>846</v>
      </c>
      <c r="B321" s="592" t="s">
        <v>398</v>
      </c>
      <c r="C321" s="593">
        <v>312</v>
      </c>
      <c r="D321" s="592" t="str">
        <f t="shared" si="49"/>
        <v>4009</v>
      </c>
      <c r="E321" s="650" t="s">
        <v>847</v>
      </c>
      <c r="F321" s="596">
        <v>1552858.97</v>
      </c>
      <c r="G321" s="678">
        <v>4005093.48</v>
      </c>
      <c r="H321" s="598">
        <v>9465204.3399999999</v>
      </c>
      <c r="I321" s="598">
        <v>14048141.210000001</v>
      </c>
      <c r="J321" s="599">
        <v>20361817.25</v>
      </c>
      <c r="K321" s="600">
        <v>22607462.280000001</v>
      </c>
      <c r="L321" s="601">
        <v>24440311.859999999</v>
      </c>
      <c r="M321" s="602">
        <v>24895280.629999999</v>
      </c>
      <c r="N321" s="603">
        <v>25388956.489999998</v>
      </c>
      <c r="O321" s="621">
        <v>24433522.41</v>
      </c>
      <c r="P321" s="605">
        <v>18554333.449999999</v>
      </c>
      <c r="Q321" s="679">
        <v>11888891.560000001</v>
      </c>
      <c r="R321" s="596">
        <v>-3293083.96</v>
      </c>
      <c r="S321" s="598">
        <f t="shared" si="42"/>
        <v>16601575.205416664</v>
      </c>
      <c r="T321" s="572"/>
      <c r="U321" s="607"/>
      <c r="V321" s="607"/>
      <c r="W321" s="607"/>
      <c r="X321" s="607"/>
      <c r="Y321" s="572"/>
      <c r="Z321" s="585"/>
    </row>
    <row r="322" spans="1:26">
      <c r="A322" s="592" t="s">
        <v>848</v>
      </c>
      <c r="B322" s="592" t="s">
        <v>398</v>
      </c>
      <c r="C322" s="593">
        <v>313</v>
      </c>
      <c r="D322" s="592" t="str">
        <f t="shared" si="49"/>
        <v>4880</v>
      </c>
      <c r="E322" s="650" t="s">
        <v>849</v>
      </c>
      <c r="F322" s="596">
        <v>-862217.33</v>
      </c>
      <c r="G322" s="678">
        <v>-89061.94</v>
      </c>
      <c r="H322" s="598">
        <v>-207924.78</v>
      </c>
      <c r="I322" s="598">
        <v>-316588.63</v>
      </c>
      <c r="J322" s="599">
        <v>-419452.29</v>
      </c>
      <c r="K322" s="600">
        <v>-505183.22</v>
      </c>
      <c r="L322" s="601">
        <v>-595431.06999999995</v>
      </c>
      <c r="M322" s="602">
        <v>-645821.11</v>
      </c>
      <c r="N322" s="603">
        <v>-715761.13</v>
      </c>
      <c r="O322" s="621">
        <v>-776822.17</v>
      </c>
      <c r="P322" s="605">
        <v>-845295.21</v>
      </c>
      <c r="Q322" s="679">
        <v>-910819.52</v>
      </c>
      <c r="R322" s="596">
        <v>-988436.27</v>
      </c>
      <c r="S322" s="598">
        <f t="shared" si="42"/>
        <v>-579457.32250000001</v>
      </c>
      <c r="T322" s="572"/>
      <c r="U322" s="607"/>
      <c r="V322" s="607"/>
      <c r="W322" s="607"/>
      <c r="X322" s="607"/>
      <c r="Y322" s="572"/>
      <c r="Z322" s="585"/>
    </row>
    <row r="323" spans="1:26">
      <c r="A323" s="592" t="s">
        <v>130</v>
      </c>
      <c r="B323" s="592" t="s">
        <v>398</v>
      </c>
      <c r="C323" s="593">
        <v>314</v>
      </c>
      <c r="D323" s="592" t="str">
        <f t="shared" si="49"/>
        <v>4890</v>
      </c>
      <c r="E323" s="650" t="s">
        <v>850</v>
      </c>
      <c r="F323" s="596">
        <v>-24386993.02</v>
      </c>
      <c r="G323" s="678">
        <v>-2111413.48</v>
      </c>
      <c r="H323" s="598">
        <v>-4276649.83</v>
      </c>
      <c r="I323" s="598">
        <v>-6316929.8099999996</v>
      </c>
      <c r="J323" s="599">
        <v>-8265672.3399999999</v>
      </c>
      <c r="K323" s="600">
        <v>-10123298.68</v>
      </c>
      <c r="L323" s="601">
        <v>-12024600.52</v>
      </c>
      <c r="M323" s="602">
        <v>-13970366.82</v>
      </c>
      <c r="N323" s="603">
        <v>-15960514.91</v>
      </c>
      <c r="O323" s="621">
        <v>-18108253.84</v>
      </c>
      <c r="P323" s="605">
        <v>-20413780.93</v>
      </c>
      <c r="Q323" s="679">
        <v>-22680148.91</v>
      </c>
      <c r="R323" s="596">
        <v>-24926674.07</v>
      </c>
      <c r="S323" s="598">
        <f t="shared" si="42"/>
        <v>-13242371.967916667</v>
      </c>
      <c r="T323" s="572"/>
      <c r="U323" s="607"/>
      <c r="V323" s="607"/>
      <c r="W323" s="607"/>
      <c r="X323" s="607"/>
      <c r="Y323" s="572"/>
      <c r="Z323" s="585"/>
    </row>
    <row r="324" spans="1:26">
      <c r="A324" s="592" t="s">
        <v>851</v>
      </c>
      <c r="B324" s="592" t="s">
        <v>398</v>
      </c>
      <c r="C324" s="593">
        <v>315</v>
      </c>
      <c r="D324" s="592" t="str">
        <f t="shared" si="49"/>
        <v>4891</v>
      </c>
      <c r="E324" s="650" t="s">
        <v>852</v>
      </c>
      <c r="F324" s="596">
        <v>-32543.279999999999</v>
      </c>
      <c r="G324" s="678">
        <v>-48575.42</v>
      </c>
      <c r="H324" s="598">
        <v>63131.74</v>
      </c>
      <c r="I324" s="598">
        <v>161602.95000000001</v>
      </c>
      <c r="J324" s="599">
        <v>252785.47</v>
      </c>
      <c r="K324" s="600">
        <v>210634.32</v>
      </c>
      <c r="L324" s="601">
        <v>172263.25</v>
      </c>
      <c r="M324" s="602">
        <v>121606.33</v>
      </c>
      <c r="N324" s="603">
        <v>-39854.22</v>
      </c>
      <c r="O324" s="621">
        <v>-201026.47</v>
      </c>
      <c r="P324" s="605">
        <v>-163401.70000000001</v>
      </c>
      <c r="Q324" s="679">
        <v>-142826.20000000001</v>
      </c>
      <c r="R324" s="596">
        <v>-334499.83</v>
      </c>
      <c r="S324" s="598">
        <f t="shared" si="42"/>
        <v>16901.541249999998</v>
      </c>
      <c r="T324" s="572"/>
      <c r="U324" s="607"/>
      <c r="V324" s="607"/>
      <c r="W324" s="607"/>
      <c r="X324" s="607"/>
      <c r="Y324" s="572"/>
      <c r="Z324" s="585"/>
    </row>
    <row r="325" spans="1:26">
      <c r="A325" s="592" t="s">
        <v>132</v>
      </c>
      <c r="B325" s="592" t="s">
        <v>398</v>
      </c>
      <c r="C325" s="593">
        <v>316</v>
      </c>
      <c r="D325" s="592" t="str">
        <f t="shared" si="49"/>
        <v>4930</v>
      </c>
      <c r="E325" s="650" t="s">
        <v>853</v>
      </c>
      <c r="F325" s="596">
        <v>-12100</v>
      </c>
      <c r="G325" s="678">
        <v>-1000</v>
      </c>
      <c r="H325" s="598">
        <v>-2000</v>
      </c>
      <c r="I325" s="598">
        <v>-4000</v>
      </c>
      <c r="J325" s="599">
        <v>-4000</v>
      </c>
      <c r="K325" s="600">
        <v>-5100</v>
      </c>
      <c r="L325" s="601">
        <v>-6100</v>
      </c>
      <c r="M325" s="602">
        <v>-7100</v>
      </c>
      <c r="N325" s="603">
        <v>-8100</v>
      </c>
      <c r="O325" s="621">
        <v>-9100</v>
      </c>
      <c r="P325" s="605">
        <v>-10100</v>
      </c>
      <c r="Q325" s="679">
        <v>-11100</v>
      </c>
      <c r="R325" s="596">
        <v>-12100</v>
      </c>
      <c r="S325" s="598">
        <f t="shared" si="42"/>
        <v>-6650</v>
      </c>
      <c r="T325" s="572"/>
      <c r="U325" s="607"/>
      <c r="V325" s="607"/>
      <c r="W325" s="607"/>
      <c r="X325" s="607"/>
      <c r="Y325" s="572"/>
      <c r="Z325" s="585"/>
    </row>
    <row r="326" spans="1:26">
      <c r="A326" s="592" t="s">
        <v>134</v>
      </c>
      <c r="B326" s="592" t="s">
        <v>398</v>
      </c>
      <c r="C326" s="593">
        <v>317</v>
      </c>
      <c r="D326" s="592" t="str">
        <f t="shared" si="49"/>
        <v>4940</v>
      </c>
      <c r="E326" s="592" t="s">
        <v>135</v>
      </c>
      <c r="F326" s="596">
        <v>-102660</v>
      </c>
      <c r="G326" s="678">
        <v>-10127</v>
      </c>
      <c r="H326" s="598">
        <v>-20254</v>
      </c>
      <c r="I326" s="598">
        <v>-30381</v>
      </c>
      <c r="J326" s="599">
        <v>-40508</v>
      </c>
      <c r="K326" s="600">
        <v>-50635</v>
      </c>
      <c r="L326" s="601">
        <v>-60762</v>
      </c>
      <c r="M326" s="602">
        <v>-70889</v>
      </c>
      <c r="N326" s="603">
        <v>-81016</v>
      </c>
      <c r="O326" s="621">
        <v>-91143</v>
      </c>
      <c r="P326" s="605">
        <v>-101270</v>
      </c>
      <c r="Q326" s="679">
        <v>-111397</v>
      </c>
      <c r="R326" s="596">
        <v>-121524</v>
      </c>
      <c r="S326" s="598">
        <f t="shared" si="42"/>
        <v>-65039.5</v>
      </c>
      <c r="T326" s="572"/>
      <c r="U326" s="607"/>
      <c r="V326" s="607"/>
      <c r="W326" s="607"/>
      <c r="X326" s="607"/>
      <c r="Y326" s="572"/>
      <c r="Z326" s="585"/>
    </row>
    <row r="327" spans="1:26">
      <c r="A327" s="592" t="s">
        <v>136</v>
      </c>
      <c r="B327" s="592" t="s">
        <v>398</v>
      </c>
      <c r="C327" s="593">
        <v>318</v>
      </c>
      <c r="D327" s="592" t="str">
        <f t="shared" si="49"/>
        <v>4950</v>
      </c>
      <c r="E327" s="650" t="s">
        <v>854</v>
      </c>
      <c r="F327" s="596">
        <v>-285467.40999999997</v>
      </c>
      <c r="G327" s="678">
        <v>-6338.56</v>
      </c>
      <c r="H327" s="598">
        <v>-33925.410000000003</v>
      </c>
      <c r="I327" s="598">
        <v>-57596.61</v>
      </c>
      <c r="J327" s="599">
        <v>-65771.899999999994</v>
      </c>
      <c r="K327" s="600">
        <v>-75369.960000000006</v>
      </c>
      <c r="L327" s="601">
        <v>-101903.1</v>
      </c>
      <c r="M327" s="602">
        <v>-117269.58</v>
      </c>
      <c r="N327" s="603">
        <v>-125429.82</v>
      </c>
      <c r="O327" s="621">
        <v>-147744.69</v>
      </c>
      <c r="P327" s="605">
        <v>-129394.63</v>
      </c>
      <c r="Q327" s="679">
        <v>-137718.89000000001</v>
      </c>
      <c r="R327" s="596">
        <v>-152621.38</v>
      </c>
      <c r="S327" s="598">
        <f t="shared" si="42"/>
        <v>-101458.96208333335</v>
      </c>
      <c r="T327" s="572"/>
      <c r="U327" s="607"/>
      <c r="V327" s="607"/>
      <c r="W327" s="607"/>
      <c r="X327" s="607"/>
      <c r="Y327" s="572"/>
      <c r="Z327" s="585"/>
    </row>
    <row r="328" spans="1:26">
      <c r="A328" s="592" t="s">
        <v>855</v>
      </c>
      <c r="B328" s="592" t="s">
        <v>398</v>
      </c>
      <c r="C328" s="593">
        <v>319</v>
      </c>
      <c r="D328" s="592" t="str">
        <f t="shared" si="49"/>
        <v>4962</v>
      </c>
      <c r="E328" s="650" t="s">
        <v>856</v>
      </c>
      <c r="F328" s="596">
        <v>0</v>
      </c>
      <c r="G328" s="678">
        <v>0</v>
      </c>
      <c r="H328" s="598">
        <v>0</v>
      </c>
      <c r="I328" s="598">
        <v>0</v>
      </c>
      <c r="J328" s="599">
        <v>0</v>
      </c>
      <c r="K328" s="600">
        <v>0</v>
      </c>
      <c r="L328" s="601">
        <v>0</v>
      </c>
      <c r="M328" s="602">
        <v>0</v>
      </c>
      <c r="N328" s="603">
        <v>0</v>
      </c>
      <c r="O328" s="621">
        <v>0</v>
      </c>
      <c r="P328" s="605">
        <v>0</v>
      </c>
      <c r="Q328" s="679">
        <v>0</v>
      </c>
      <c r="R328" s="596">
        <v>0</v>
      </c>
      <c r="S328" s="598">
        <f t="shared" si="42"/>
        <v>0</v>
      </c>
      <c r="T328" s="572"/>
      <c r="U328" s="607"/>
      <c r="V328" s="607"/>
      <c r="W328" s="607"/>
      <c r="X328" s="607"/>
      <c r="Y328" s="572"/>
      <c r="Z328" s="585"/>
    </row>
    <row r="329" spans="1:26">
      <c r="A329" s="592" t="s">
        <v>857</v>
      </c>
      <c r="B329" s="592" t="s">
        <v>398</v>
      </c>
      <c r="C329" s="593">
        <v>320</v>
      </c>
      <c r="D329" s="592" t="str">
        <f t="shared" si="49"/>
        <v>5000</v>
      </c>
      <c r="E329" s="650" t="s">
        <v>858</v>
      </c>
      <c r="F329" s="596">
        <v>0</v>
      </c>
      <c r="G329" s="678">
        <v>0</v>
      </c>
      <c r="H329" s="598">
        <v>0</v>
      </c>
      <c r="I329" s="598">
        <v>0</v>
      </c>
      <c r="J329" s="599">
        <v>0</v>
      </c>
      <c r="K329" s="600">
        <v>0</v>
      </c>
      <c r="L329" s="601">
        <v>0</v>
      </c>
      <c r="M329" s="602">
        <v>0</v>
      </c>
      <c r="N329" s="603">
        <v>0</v>
      </c>
      <c r="O329" s="621">
        <v>0</v>
      </c>
      <c r="P329" s="605">
        <v>0</v>
      </c>
      <c r="Q329" s="679">
        <v>0</v>
      </c>
      <c r="R329" s="596">
        <v>0</v>
      </c>
      <c r="S329" s="598">
        <f t="shared" si="42"/>
        <v>0</v>
      </c>
      <c r="T329" s="572"/>
      <c r="U329" s="607"/>
      <c r="V329" s="607"/>
      <c r="W329" s="607"/>
      <c r="X329" s="607"/>
      <c r="Y329" s="585"/>
      <c r="Z329" s="585"/>
    </row>
    <row r="330" spans="1:26">
      <c r="A330" s="592"/>
      <c r="B330" s="592"/>
      <c r="C330" s="593">
        <v>321</v>
      </c>
      <c r="D330" s="594"/>
      <c r="E330" s="650" t="s">
        <v>859</v>
      </c>
      <c r="F330" s="620">
        <f>SUM(F320:F329)</f>
        <v>-283544904.13999999</v>
      </c>
      <c r="G330" s="620">
        <f t="shared" ref="G330:S330" si="50">SUM(G320:G329)</f>
        <v>-43584489.560000002</v>
      </c>
      <c r="H330" s="620">
        <f t="shared" si="50"/>
        <v>-75070071.409999996</v>
      </c>
      <c r="I330" s="620">
        <f t="shared" si="50"/>
        <v>-103890649.79999998</v>
      </c>
      <c r="J330" s="620">
        <f t="shared" si="50"/>
        <v>-121366425.48000002</v>
      </c>
      <c r="K330" s="620">
        <f t="shared" si="50"/>
        <v>-133630389.44000001</v>
      </c>
      <c r="L330" s="620">
        <f t="shared" si="50"/>
        <v>-145068575.36999997</v>
      </c>
      <c r="M330" s="620">
        <f t="shared" si="50"/>
        <v>-155698727.89000002</v>
      </c>
      <c r="N330" s="620">
        <f t="shared" si="50"/>
        <v>-165857253.33999997</v>
      </c>
      <c r="O330" s="620">
        <f t="shared" si="50"/>
        <v>-177944386.23999998</v>
      </c>
      <c r="P330" s="620">
        <f t="shared" si="50"/>
        <v>-197295086.83000001</v>
      </c>
      <c r="Q330" s="620">
        <f t="shared" si="50"/>
        <v>-224111098.89999998</v>
      </c>
      <c r="R330" s="620">
        <f t="shared" si="50"/>
        <v>-269012403.22000003</v>
      </c>
      <c r="S330" s="620">
        <f t="shared" si="50"/>
        <v>-151649650.66166669</v>
      </c>
      <c r="T330" s="576"/>
      <c r="U330" s="608">
        <f>S330</f>
        <v>-151649650.66166669</v>
      </c>
      <c r="V330" s="607"/>
      <c r="W330" s="607"/>
      <c r="X330" s="608"/>
      <c r="Y330" s="707"/>
      <c r="Z330" s="585"/>
    </row>
    <row r="331" spans="1:26">
      <c r="A331" s="592"/>
      <c r="B331" s="592"/>
      <c r="C331" s="593">
        <v>322</v>
      </c>
      <c r="D331" s="594"/>
      <c r="E331" s="650"/>
      <c r="F331" s="596"/>
      <c r="G331" s="678"/>
      <c r="H331" s="598"/>
      <c r="I331" s="598"/>
      <c r="J331" s="599"/>
      <c r="K331" s="600"/>
      <c r="L331" s="601"/>
      <c r="M331" s="602"/>
      <c r="N331" s="603"/>
      <c r="O331" s="621"/>
      <c r="P331" s="605"/>
      <c r="Q331" s="679"/>
      <c r="R331" s="596"/>
      <c r="S331" s="598">
        <f t="shared" si="42"/>
        <v>0</v>
      </c>
      <c r="T331" s="572"/>
      <c r="U331" s="607"/>
      <c r="V331" s="607"/>
      <c r="W331" s="607"/>
      <c r="X331" s="607"/>
      <c r="Y331" s="707"/>
      <c r="Z331" s="585"/>
    </row>
    <row r="332" spans="1:26">
      <c r="A332" s="592" t="s">
        <v>860</v>
      </c>
      <c r="B332" s="592" t="s">
        <v>618</v>
      </c>
      <c r="C332" s="593">
        <v>323</v>
      </c>
      <c r="D332" s="570" t="str">
        <f>A332&amp;"."&amp;B332</f>
        <v>4190.[/011]</v>
      </c>
      <c r="E332" s="592" t="s">
        <v>332</v>
      </c>
      <c r="F332" s="596">
        <v>-9071565.0700000003</v>
      </c>
      <c r="G332" s="678">
        <v>-29025.52</v>
      </c>
      <c r="H332" s="598">
        <v>-50867.63</v>
      </c>
      <c r="I332" s="598">
        <v>-107953.26</v>
      </c>
      <c r="J332" s="599">
        <v>-147646.09</v>
      </c>
      <c r="K332" s="600">
        <v>-193698.04</v>
      </c>
      <c r="L332" s="601">
        <v>-252297.46</v>
      </c>
      <c r="M332" s="602">
        <v>-307123.62</v>
      </c>
      <c r="N332" s="603">
        <v>-449347.6</v>
      </c>
      <c r="O332" s="621">
        <v>-500575.91</v>
      </c>
      <c r="P332" s="605">
        <v>-538645.17000000004</v>
      </c>
      <c r="Q332" s="679">
        <v>-565602.80000000005</v>
      </c>
      <c r="R332" s="596">
        <v>-610339.98</v>
      </c>
      <c r="S332" s="598">
        <f t="shared" ref="S332:S341" si="51">((F332+R332)+((G332+H332+I332+J332+K332+L332+M332+N332+O332+P332+Q332)*2))/24</f>
        <v>-665311.30208333337</v>
      </c>
      <c r="T332" s="572"/>
      <c r="U332" s="607"/>
      <c r="V332" s="607"/>
      <c r="W332" s="607"/>
      <c r="X332" s="607"/>
      <c r="Y332" s="572"/>
      <c r="Z332" s="585"/>
    </row>
    <row r="333" spans="1:26">
      <c r="A333" s="592" t="s">
        <v>860</v>
      </c>
      <c r="B333" s="592" t="s">
        <v>619</v>
      </c>
      <c r="C333" s="593">
        <v>324</v>
      </c>
      <c r="D333" s="570" t="str">
        <f>A333&amp;"."&amp;B333</f>
        <v>4190.011</v>
      </c>
      <c r="E333" s="592" t="s">
        <v>861</v>
      </c>
      <c r="F333" s="596">
        <v>-266466</v>
      </c>
      <c r="G333" s="678">
        <v>0</v>
      </c>
      <c r="H333" s="598">
        <v>0</v>
      </c>
      <c r="I333" s="598">
        <v>0</v>
      </c>
      <c r="J333" s="599">
        <v>0</v>
      </c>
      <c r="K333" s="600">
        <v>0</v>
      </c>
      <c r="L333" s="601">
        <v>0</v>
      </c>
      <c r="M333" s="602">
        <v>0</v>
      </c>
      <c r="N333" s="603">
        <v>0</v>
      </c>
      <c r="O333" s="621">
        <v>0</v>
      </c>
      <c r="P333" s="605">
        <v>0</v>
      </c>
      <c r="Q333" s="679">
        <v>0</v>
      </c>
      <c r="R333" s="596">
        <v>0</v>
      </c>
      <c r="S333" s="598">
        <f t="shared" si="51"/>
        <v>-11102.75</v>
      </c>
      <c r="T333" s="572"/>
      <c r="U333" s="607"/>
      <c r="V333" s="607"/>
      <c r="W333" s="607"/>
      <c r="X333" s="607"/>
      <c r="Y333" s="572"/>
      <c r="Z333" s="585"/>
    </row>
    <row r="334" spans="1:26">
      <c r="A334" s="592" t="s">
        <v>862</v>
      </c>
      <c r="B334" s="592" t="s">
        <v>398</v>
      </c>
      <c r="C334" s="593">
        <v>325</v>
      </c>
      <c r="D334" s="592" t="str">
        <f>+A334</f>
        <v>4210</v>
      </c>
      <c r="E334" s="650" t="s">
        <v>863</v>
      </c>
      <c r="F334" s="596">
        <v>-18356.8</v>
      </c>
      <c r="G334" s="678">
        <v>-874.82</v>
      </c>
      <c r="H334" s="598">
        <v>-1908.15</v>
      </c>
      <c r="I334" s="598">
        <v>-4196.79</v>
      </c>
      <c r="J334" s="599">
        <v>-6825.79</v>
      </c>
      <c r="K334" s="600">
        <v>-8774.06</v>
      </c>
      <c r="L334" s="601">
        <v>-9713.98</v>
      </c>
      <c r="M334" s="602">
        <v>-10601.3</v>
      </c>
      <c r="N334" s="603">
        <v>-12623.65</v>
      </c>
      <c r="O334" s="621">
        <v>-13521.06</v>
      </c>
      <c r="P334" s="605">
        <v>-15150.16</v>
      </c>
      <c r="Q334" s="679">
        <v>-16277.85</v>
      </c>
      <c r="R334" s="596">
        <v>-17666.43</v>
      </c>
      <c r="S334" s="598">
        <f t="shared" si="51"/>
        <v>-9873.2687500000011</v>
      </c>
      <c r="T334" s="572"/>
      <c r="U334" s="607"/>
      <c r="V334" s="607"/>
      <c r="W334" s="607"/>
      <c r="X334" s="607"/>
      <c r="Y334" s="572"/>
      <c r="Z334" s="585"/>
    </row>
    <row r="335" spans="1:26">
      <c r="A335" s="592" t="s">
        <v>864</v>
      </c>
      <c r="B335" s="592" t="s">
        <v>398</v>
      </c>
      <c r="C335" s="593">
        <v>326</v>
      </c>
      <c r="D335" s="592" t="str">
        <f>+A335</f>
        <v>4181</v>
      </c>
      <c r="E335" s="650" t="s">
        <v>865</v>
      </c>
      <c r="F335" s="596">
        <v>0</v>
      </c>
      <c r="G335" s="678">
        <v>0</v>
      </c>
      <c r="H335" s="598">
        <v>0</v>
      </c>
      <c r="I335" s="598">
        <v>0</v>
      </c>
      <c r="J335" s="599">
        <v>0</v>
      </c>
      <c r="K335" s="600">
        <v>0</v>
      </c>
      <c r="L335" s="601">
        <v>0</v>
      </c>
      <c r="M335" s="602">
        <v>0</v>
      </c>
      <c r="N335" s="603">
        <v>0</v>
      </c>
      <c r="O335" s="621">
        <v>0</v>
      </c>
      <c r="P335" s="605">
        <v>0</v>
      </c>
      <c r="Q335" s="679">
        <v>0</v>
      </c>
      <c r="R335" s="596">
        <v>0</v>
      </c>
      <c r="S335" s="598">
        <f t="shared" si="51"/>
        <v>0</v>
      </c>
      <c r="T335" s="585"/>
      <c r="U335" s="607"/>
      <c r="V335" s="607"/>
      <c r="W335" s="607"/>
      <c r="X335" s="607"/>
      <c r="Y335" s="585"/>
      <c r="Z335" s="585"/>
    </row>
    <row r="336" spans="1:26">
      <c r="A336" s="592" t="s">
        <v>866</v>
      </c>
      <c r="B336" s="592" t="s">
        <v>398</v>
      </c>
      <c r="C336" s="593">
        <v>327</v>
      </c>
      <c r="D336" s="592" t="str">
        <f>+A336</f>
        <v>4191</v>
      </c>
      <c r="E336" s="650" t="s">
        <v>867</v>
      </c>
      <c r="F336" s="596">
        <v>-461795.53</v>
      </c>
      <c r="G336" s="678">
        <v>-29021.1</v>
      </c>
      <c r="H336" s="598">
        <v>-54203.92</v>
      </c>
      <c r="I336" s="598">
        <v>-92338.3</v>
      </c>
      <c r="J336" s="599">
        <v>-91063.83</v>
      </c>
      <c r="K336" s="600">
        <v>-129349.55</v>
      </c>
      <c r="L336" s="601">
        <v>-160628.41</v>
      </c>
      <c r="M336" s="602">
        <v>-201601.98</v>
      </c>
      <c r="N336" s="603">
        <v>-250733</v>
      </c>
      <c r="O336" s="621">
        <v>-287568.37</v>
      </c>
      <c r="P336" s="605">
        <v>-311815.55</v>
      </c>
      <c r="Q336" s="679">
        <v>-336889.55</v>
      </c>
      <c r="R336" s="596">
        <v>-361161.84</v>
      </c>
      <c r="S336" s="598">
        <f t="shared" si="51"/>
        <v>-196391.02041666667</v>
      </c>
      <c r="T336" s="585"/>
      <c r="U336" s="607"/>
      <c r="V336" s="607"/>
      <c r="W336" s="607"/>
      <c r="X336" s="607"/>
      <c r="Y336" s="585"/>
      <c r="Z336" s="585"/>
    </row>
    <row r="337" spans="1:26">
      <c r="A337" s="592" t="s">
        <v>868</v>
      </c>
      <c r="B337" s="592" t="s">
        <v>398</v>
      </c>
      <c r="C337" s="593">
        <v>328</v>
      </c>
      <c r="D337" s="592" t="str">
        <f>+A337</f>
        <v>4320</v>
      </c>
      <c r="E337" s="650" t="s">
        <v>869</v>
      </c>
      <c r="F337" s="596">
        <v>-301152.05</v>
      </c>
      <c r="G337" s="678">
        <v>-22929.03</v>
      </c>
      <c r="H337" s="598">
        <v>-42826.400000000001</v>
      </c>
      <c r="I337" s="598">
        <v>-72947.17</v>
      </c>
      <c r="J337" s="599">
        <v>-72054</v>
      </c>
      <c r="K337" s="600">
        <v>-102293.68</v>
      </c>
      <c r="L337" s="601">
        <v>-127016.07</v>
      </c>
      <c r="M337" s="602">
        <v>-159387.71</v>
      </c>
      <c r="N337" s="603">
        <v>-198194.02</v>
      </c>
      <c r="O337" s="621">
        <v>-227335.52</v>
      </c>
      <c r="P337" s="605">
        <v>-246439.59</v>
      </c>
      <c r="Q337" s="679">
        <v>-266243.59000000003</v>
      </c>
      <c r="R337" s="596">
        <v>-284974.61</v>
      </c>
      <c r="S337" s="598">
        <f t="shared" si="51"/>
        <v>-152560.8425</v>
      </c>
      <c r="T337" s="585"/>
      <c r="U337" s="607"/>
      <c r="V337" s="607"/>
      <c r="W337" s="607"/>
      <c r="X337" s="607"/>
      <c r="Y337" s="585"/>
      <c r="Z337" s="585"/>
    </row>
    <row r="338" spans="1:26">
      <c r="A338" s="592" t="s">
        <v>870</v>
      </c>
      <c r="B338" s="592" t="s">
        <v>398</v>
      </c>
      <c r="C338" s="593">
        <v>329</v>
      </c>
      <c r="D338" s="592" t="str">
        <f>+A338</f>
        <v>4170</v>
      </c>
      <c r="E338" s="650" t="s">
        <v>871</v>
      </c>
      <c r="F338" s="596">
        <v>-9824.85</v>
      </c>
      <c r="G338" s="678">
        <v>-619.09</v>
      </c>
      <c r="H338" s="598">
        <v>-963.86</v>
      </c>
      <c r="I338" s="598">
        <v>-1577.61</v>
      </c>
      <c r="J338" s="599">
        <v>-2193.21</v>
      </c>
      <c r="K338" s="600">
        <v>-2193.21</v>
      </c>
      <c r="L338" s="601">
        <v>-2193.21</v>
      </c>
      <c r="M338" s="602">
        <v>-2376.23</v>
      </c>
      <c r="N338" s="603">
        <v>-2619.19</v>
      </c>
      <c r="O338" s="621">
        <v>-3557.12</v>
      </c>
      <c r="P338" s="605">
        <v>-4236.55</v>
      </c>
      <c r="Q338" s="679">
        <v>-4896.0200000000004</v>
      </c>
      <c r="R338" s="596">
        <v>-6275.73</v>
      </c>
      <c r="S338" s="598">
        <f t="shared" si="51"/>
        <v>-2956.2991666666662</v>
      </c>
      <c r="T338" s="585"/>
      <c r="U338" s="607"/>
      <c r="V338" s="607"/>
      <c r="W338" s="607"/>
      <c r="X338" s="607"/>
      <c r="Y338" s="585"/>
      <c r="Z338" s="585"/>
    </row>
    <row r="339" spans="1:26">
      <c r="A339" s="568"/>
      <c r="B339" s="568"/>
      <c r="C339" s="593">
        <v>330</v>
      </c>
      <c r="D339" s="570"/>
      <c r="E339" s="650"/>
      <c r="F339" s="596"/>
      <c r="G339" s="678"/>
      <c r="H339" s="598"/>
      <c r="I339" s="598"/>
      <c r="J339" s="599"/>
      <c r="K339" s="600"/>
      <c r="L339" s="601"/>
      <c r="M339" s="602"/>
      <c r="N339" s="603"/>
      <c r="O339" s="621"/>
      <c r="P339" s="605"/>
      <c r="Q339" s="679"/>
      <c r="R339" s="596"/>
      <c r="S339" s="598">
        <f t="shared" si="51"/>
        <v>0</v>
      </c>
      <c r="T339" s="585"/>
      <c r="U339" s="607"/>
      <c r="V339" s="607"/>
      <c r="W339" s="607"/>
      <c r="X339" s="607"/>
      <c r="Y339" s="585"/>
      <c r="Z339" s="585"/>
    </row>
    <row r="340" spans="1:26">
      <c r="A340" s="568"/>
      <c r="B340" s="568"/>
      <c r="C340" s="593">
        <v>331</v>
      </c>
      <c r="D340" s="570"/>
      <c r="E340" s="650" t="s">
        <v>872</v>
      </c>
      <c r="F340" s="620">
        <f>SUM(F332:F338)</f>
        <v>-10129160.300000001</v>
      </c>
      <c r="G340" s="620">
        <f t="shared" ref="G340:S340" si="52">SUM(G332:G338)</f>
        <v>-82469.56</v>
      </c>
      <c r="H340" s="620">
        <f t="shared" si="52"/>
        <v>-150769.96</v>
      </c>
      <c r="I340" s="620">
        <f t="shared" si="52"/>
        <v>-279013.12999999995</v>
      </c>
      <c r="J340" s="620">
        <f t="shared" si="52"/>
        <v>-319782.92000000004</v>
      </c>
      <c r="K340" s="620">
        <f t="shared" si="52"/>
        <v>-436308.54000000004</v>
      </c>
      <c r="L340" s="620">
        <f t="shared" si="52"/>
        <v>-551849.12999999989</v>
      </c>
      <c r="M340" s="620">
        <f t="shared" si="52"/>
        <v>-681090.84</v>
      </c>
      <c r="N340" s="620">
        <f t="shared" si="52"/>
        <v>-913517.46</v>
      </c>
      <c r="O340" s="620">
        <f t="shared" si="52"/>
        <v>-1032557.98</v>
      </c>
      <c r="P340" s="620">
        <f t="shared" si="52"/>
        <v>-1116287.0200000003</v>
      </c>
      <c r="Q340" s="620">
        <f t="shared" si="52"/>
        <v>-1189909.81</v>
      </c>
      <c r="R340" s="620">
        <f t="shared" si="52"/>
        <v>-1280418.5899999999</v>
      </c>
      <c r="S340" s="620">
        <f t="shared" si="52"/>
        <v>-1038195.4829166668</v>
      </c>
      <c r="T340" s="585"/>
      <c r="U340" s="608">
        <f>S340</f>
        <v>-1038195.4829166668</v>
      </c>
      <c r="V340" s="607"/>
      <c r="W340" s="607"/>
      <c r="X340" s="608"/>
      <c r="Y340" s="585"/>
      <c r="Z340" s="585"/>
    </row>
    <row r="341" spans="1:26">
      <c r="A341" s="568"/>
      <c r="B341" s="568"/>
      <c r="C341" s="593">
        <v>332</v>
      </c>
      <c r="D341" s="570"/>
      <c r="E341" s="650"/>
      <c r="F341" s="596"/>
      <c r="G341" s="678"/>
      <c r="H341" s="598"/>
      <c r="I341" s="598"/>
      <c r="J341" s="599"/>
      <c r="K341" s="600"/>
      <c r="L341" s="601"/>
      <c r="M341" s="602"/>
      <c r="N341" s="603"/>
      <c r="O341" s="621"/>
      <c r="P341" s="605"/>
      <c r="Q341" s="679"/>
      <c r="R341" s="596"/>
      <c r="S341" s="598">
        <f t="shared" si="51"/>
        <v>0</v>
      </c>
      <c r="T341" s="585"/>
      <c r="U341" s="572"/>
      <c r="V341" s="572"/>
      <c r="W341" s="572"/>
      <c r="X341" s="572"/>
      <c r="Y341" s="585"/>
      <c r="Z341" s="585"/>
    </row>
    <row r="342" spans="1:26" ht="16.5" thickBot="1">
      <c r="A342" s="568"/>
      <c r="B342" s="568"/>
      <c r="C342" s="593">
        <v>333</v>
      </c>
      <c r="D342" s="570"/>
      <c r="E342" s="650" t="s">
        <v>873</v>
      </c>
      <c r="F342" s="698">
        <f>+F340+F330+F318+F312+F295+F275+F274+F273+F272+F271+F270+F269+F268+F266+F234+F213</f>
        <v>-957808188.96000004</v>
      </c>
      <c r="G342" s="698">
        <f t="shared" ref="G342:S342" si="53">+G340+G330+G318+G312+G295+G275+G274+G273+G272+G271+G270+G269+G268+G266+G234+G213</f>
        <v>-702758578.59000003</v>
      </c>
      <c r="H342" s="698">
        <f t="shared" si="53"/>
        <v>-735000254.90999997</v>
      </c>
      <c r="I342" s="698">
        <f t="shared" si="53"/>
        <v>-765442960.05999994</v>
      </c>
      <c r="J342" s="698">
        <f t="shared" si="53"/>
        <v>-772363559.81000018</v>
      </c>
      <c r="K342" s="698">
        <f t="shared" si="53"/>
        <v>-787640044.00999999</v>
      </c>
      <c r="L342" s="698">
        <f t="shared" si="53"/>
        <v>-797992253.01000011</v>
      </c>
      <c r="M342" s="698">
        <f t="shared" si="53"/>
        <v>-804112169.55000007</v>
      </c>
      <c r="N342" s="698">
        <f t="shared" si="53"/>
        <v>-813852966.13999999</v>
      </c>
      <c r="O342" s="698">
        <f t="shared" si="53"/>
        <v>-825107690.84000003</v>
      </c>
      <c r="P342" s="698">
        <f t="shared" si="53"/>
        <v>-852872870.34000003</v>
      </c>
      <c r="Q342" s="698">
        <f t="shared" si="53"/>
        <v>-886611525.82000005</v>
      </c>
      <c r="R342" s="698">
        <f t="shared" si="53"/>
        <v>-945811407.7700001</v>
      </c>
      <c r="S342" s="698">
        <f t="shared" si="53"/>
        <v>-807963722.62041676</v>
      </c>
      <c r="T342" s="572" t="s">
        <v>874</v>
      </c>
      <c r="U342" s="708">
        <f>SUM(U10:U341)</f>
        <v>-401629941.89166671</v>
      </c>
      <c r="V342" s="708">
        <f>SUM(V10:V341)</f>
        <v>333641208.78666663</v>
      </c>
      <c r="W342" s="708">
        <f>SUM(W10:W341)</f>
        <v>31260829.359166674</v>
      </c>
      <c r="X342" s="708">
        <f>SUM(X10:X341)</f>
        <v>36727903.7458333</v>
      </c>
      <c r="Y342" s="707"/>
      <c r="Z342" s="585"/>
    </row>
    <row r="343" spans="1:26" ht="16.5" thickTop="1">
      <c r="A343" s="568"/>
      <c r="B343" s="568"/>
      <c r="C343" s="593">
        <v>334</v>
      </c>
      <c r="D343" s="570"/>
      <c r="E343" s="650"/>
      <c r="F343" s="595"/>
      <c r="G343" s="595"/>
      <c r="H343" s="595"/>
      <c r="I343" s="595"/>
      <c r="J343" s="595"/>
      <c r="K343" s="595"/>
      <c r="L343" s="595"/>
      <c r="M343" s="595"/>
      <c r="N343" s="595"/>
      <c r="O343" s="595"/>
      <c r="P343" s="595"/>
      <c r="Q343" s="595"/>
      <c r="R343" s="595"/>
      <c r="S343" s="595"/>
      <c r="T343" s="576" t="s">
        <v>875</v>
      </c>
      <c r="U343" s="708"/>
      <c r="V343" s="708"/>
      <c r="W343" s="709">
        <f>W342+V342</f>
        <v>364902038.14583331</v>
      </c>
      <c r="X343" s="708"/>
      <c r="Y343" s="585"/>
      <c r="Z343" s="585"/>
    </row>
    <row r="344" spans="1:26">
      <c r="A344" s="568"/>
      <c r="B344" s="568"/>
      <c r="C344" s="593">
        <v>335</v>
      </c>
      <c r="D344" s="710"/>
      <c r="E344" s="650"/>
      <c r="F344" s="575"/>
      <c r="G344" s="575"/>
      <c r="H344" s="575"/>
      <c r="I344" s="575"/>
      <c r="J344" s="575"/>
      <c r="K344" s="575"/>
      <c r="L344" s="575"/>
      <c r="M344" s="575"/>
      <c r="N344" s="575"/>
      <c r="O344" s="575"/>
      <c r="P344" s="575"/>
      <c r="Q344" s="575"/>
      <c r="S344" s="595"/>
      <c r="T344" s="572" t="s">
        <v>876</v>
      </c>
      <c r="U344" s="707"/>
      <c r="V344" s="585"/>
      <c r="W344" s="711" t="s">
        <v>1003</v>
      </c>
      <c r="X344" s="712">
        <f>X342/W343</f>
        <v>0.10065140751873512</v>
      </c>
      <c r="Y344" s="585"/>
      <c r="Z344" s="585"/>
    </row>
    <row r="345" spans="1:26">
      <c r="A345" s="575"/>
      <c r="B345" s="575"/>
      <c r="C345" s="583"/>
      <c r="D345" s="575"/>
      <c r="E345" s="575"/>
      <c r="F345" s="570"/>
      <c r="G345" s="575"/>
      <c r="H345" s="575"/>
      <c r="I345" s="575"/>
      <c r="J345" s="575"/>
      <c r="K345" s="575"/>
      <c r="L345" s="575"/>
      <c r="M345" s="575"/>
      <c r="N345" s="575"/>
      <c r="O345" s="575"/>
      <c r="P345" s="575"/>
      <c r="Q345" s="575"/>
      <c r="R345" s="575"/>
      <c r="S345" s="570"/>
      <c r="T345" s="594"/>
      <c r="U345" s="585"/>
      <c r="V345" s="575"/>
      <c r="W345" s="575"/>
      <c r="X345" s="575"/>
      <c r="Y345" s="570"/>
      <c r="Z345" s="585"/>
    </row>
    <row r="346" spans="1:26">
      <c r="A346" s="575"/>
      <c r="B346" s="575"/>
      <c r="C346" s="583"/>
      <c r="D346" s="575"/>
      <c r="E346" s="575"/>
      <c r="F346" s="570"/>
      <c r="G346" s="575"/>
      <c r="H346" s="575"/>
      <c r="I346" s="575"/>
      <c r="J346" s="575"/>
      <c r="K346" s="575"/>
      <c r="L346" s="575"/>
      <c r="M346" s="575"/>
      <c r="N346" s="575"/>
      <c r="O346" s="575"/>
      <c r="P346" s="575"/>
      <c r="Q346" s="575"/>
      <c r="R346" s="575"/>
      <c r="S346" s="570"/>
      <c r="T346" s="594"/>
      <c r="U346" s="585"/>
      <c r="V346" s="575"/>
      <c r="W346" s="575"/>
      <c r="X346" s="575"/>
      <c r="Y346" s="570"/>
      <c r="Z346" s="585"/>
    </row>
    <row r="347" spans="1:26">
      <c r="A347" s="575"/>
      <c r="B347" s="575"/>
      <c r="C347" s="583"/>
      <c r="D347" s="575"/>
      <c r="E347" s="575"/>
      <c r="F347" s="570"/>
      <c r="G347" s="575"/>
      <c r="H347" s="575"/>
      <c r="I347" s="575"/>
      <c r="J347" s="575"/>
      <c r="K347" s="575"/>
      <c r="L347" s="575"/>
      <c r="M347" s="575"/>
      <c r="N347" s="575"/>
      <c r="O347" s="575"/>
      <c r="P347" s="575"/>
      <c r="Q347" s="575"/>
      <c r="R347" s="575"/>
      <c r="S347" s="570"/>
      <c r="T347" s="594"/>
      <c r="U347" s="585"/>
      <c r="V347" s="575"/>
      <c r="W347" s="575"/>
      <c r="X347" s="575"/>
      <c r="Y347" s="570"/>
      <c r="Z347" s="585"/>
    </row>
    <row r="348" spans="1:26">
      <c r="A348" s="575"/>
      <c r="B348" s="575"/>
      <c r="C348" s="583"/>
      <c r="D348" s="575"/>
      <c r="E348" s="575"/>
      <c r="F348" s="575"/>
      <c r="G348" s="575"/>
      <c r="H348" s="575"/>
      <c r="I348" s="570"/>
      <c r="J348" s="575"/>
      <c r="K348" s="575"/>
      <c r="L348" s="575"/>
      <c r="M348" s="575"/>
      <c r="N348" s="575"/>
      <c r="O348" s="575"/>
      <c r="P348" s="575"/>
      <c r="Q348" s="575"/>
      <c r="R348" s="575"/>
      <c r="S348" s="570"/>
      <c r="T348" s="594"/>
      <c r="U348" s="585"/>
      <c r="V348" s="575"/>
      <c r="W348" s="575"/>
      <c r="X348" s="575"/>
      <c r="Y348" s="570"/>
      <c r="Z348" s="585"/>
    </row>
    <row r="349" spans="1:26">
      <c r="A349" s="575"/>
      <c r="B349" s="575"/>
      <c r="C349" s="583"/>
      <c r="D349" s="575"/>
      <c r="E349" s="575"/>
      <c r="F349" s="575"/>
      <c r="G349" s="575"/>
      <c r="H349" s="575"/>
      <c r="I349" s="570"/>
      <c r="J349" s="575"/>
      <c r="K349" s="575"/>
      <c r="L349" s="575"/>
      <c r="M349" s="575"/>
      <c r="N349" s="575"/>
      <c r="O349" s="575"/>
      <c r="P349" s="575"/>
      <c r="Q349" s="575"/>
      <c r="R349" s="575"/>
      <c r="S349" s="570"/>
      <c r="T349" s="594"/>
      <c r="U349" s="585"/>
      <c r="V349" s="575"/>
      <c r="W349" s="575"/>
      <c r="X349" s="575"/>
      <c r="Y349" s="570"/>
      <c r="Z349" s="585"/>
    </row>
    <row r="350" spans="1:26">
      <c r="A350" s="575"/>
      <c r="B350" s="575"/>
      <c r="C350" s="583"/>
      <c r="D350" s="575"/>
      <c r="E350" s="575"/>
      <c r="F350" s="575"/>
      <c r="G350" s="575"/>
      <c r="H350" s="575"/>
      <c r="I350" s="575"/>
      <c r="J350" s="575"/>
      <c r="K350" s="575"/>
      <c r="L350" s="575"/>
      <c r="M350" s="570"/>
      <c r="N350" s="575"/>
      <c r="O350" s="575"/>
      <c r="P350" s="575"/>
      <c r="Q350" s="575"/>
      <c r="R350" s="575"/>
      <c r="S350" s="570"/>
      <c r="T350" s="594"/>
      <c r="U350" s="585"/>
      <c r="V350" s="575"/>
      <c r="W350" s="575"/>
      <c r="X350" s="575"/>
      <c r="Y350" s="570"/>
      <c r="Z350" s="585"/>
    </row>
    <row r="351" spans="1:26">
      <c r="A351" s="575"/>
      <c r="B351" s="575"/>
      <c r="C351" s="583"/>
      <c r="D351" s="575"/>
      <c r="E351" s="575"/>
      <c r="F351" s="575"/>
      <c r="G351" s="575"/>
      <c r="H351" s="575"/>
      <c r="I351" s="575"/>
      <c r="J351" s="575"/>
      <c r="K351" s="575"/>
      <c r="L351" s="575"/>
      <c r="M351" s="570"/>
      <c r="N351" s="575"/>
      <c r="O351" s="575"/>
      <c r="P351" s="575"/>
      <c r="Q351" s="575"/>
      <c r="R351" s="575"/>
      <c r="S351" s="570"/>
      <c r="T351" s="594"/>
      <c r="U351" s="585"/>
      <c r="V351" s="575"/>
      <c r="W351" s="575"/>
      <c r="X351" s="575"/>
      <c r="Y351" s="570"/>
      <c r="Z351" s="585"/>
    </row>
    <row r="352" spans="1:26">
      <c r="A352" s="575"/>
      <c r="B352" s="575"/>
      <c r="C352" s="583"/>
      <c r="D352" s="575"/>
      <c r="E352" s="575"/>
      <c r="F352" s="575"/>
      <c r="G352" s="575"/>
      <c r="H352" s="575"/>
      <c r="I352" s="575"/>
      <c r="J352" s="575"/>
      <c r="K352" s="575"/>
      <c r="L352" s="575"/>
      <c r="M352" s="575"/>
      <c r="N352" s="570"/>
      <c r="O352" s="575"/>
      <c r="P352" s="575"/>
      <c r="Q352" s="575"/>
      <c r="R352" s="575"/>
      <c r="S352" s="570"/>
      <c r="T352" s="594"/>
      <c r="U352" s="594"/>
      <c r="V352" s="570"/>
      <c r="W352" s="570"/>
      <c r="X352" s="570"/>
      <c r="Y352" s="570"/>
      <c r="Z352" s="585"/>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Name:&amp;A&amp;R&amp;"Times New Roman,Regular"&amp;9 26678.897\4829-5163-7600.v1</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B232"/>
  <sheetViews>
    <sheetView topLeftCell="A123" zoomScale="85" zoomScaleNormal="85" workbookViewId="0">
      <selection activeCell="X34" activeCellId="1" sqref="X8:X21 X34:X164"/>
    </sheetView>
  </sheetViews>
  <sheetFormatPr defaultColWidth="9.140625" defaultRowHeight="15.75"/>
  <cols>
    <col min="1" max="1" width="9.140625" style="6"/>
    <col min="2" max="2" width="14.140625" style="4" bestFit="1" customWidth="1"/>
    <col min="3" max="3" width="48.42578125" style="4" bestFit="1" customWidth="1"/>
    <col min="4" max="15" width="0" style="4" hidden="1" customWidth="1"/>
    <col min="16" max="16" width="16.7109375" style="4" bestFit="1" customWidth="1"/>
    <col min="17" max="17" width="9.42578125" style="4" bestFit="1" customWidth="1"/>
    <col min="18" max="18" width="16.7109375" style="4" bestFit="1" customWidth="1"/>
    <col min="19" max="19" width="9.28515625" style="4" bestFit="1" customWidth="1"/>
    <col min="20" max="20" width="16" style="4" bestFit="1" customWidth="1"/>
    <col min="21" max="23" width="12.140625" style="4" hidden="1" customWidth="1"/>
    <col min="24" max="24" width="18" style="4" bestFit="1" customWidth="1"/>
    <col min="25" max="25" width="12.28515625" style="4" bestFit="1" customWidth="1"/>
    <col min="26" max="26" width="12.7109375" style="4" bestFit="1" customWidth="1"/>
    <col min="27" max="27" width="14.7109375" style="4" bestFit="1" customWidth="1"/>
    <col min="28" max="28" width="19.42578125" style="4" customWidth="1"/>
    <col min="29" max="16384" width="9.140625" style="4"/>
  </cols>
  <sheetData>
    <row r="1" spans="1:26">
      <c r="O1" s="1292" t="s">
        <v>108</v>
      </c>
      <c r="P1" s="1293"/>
      <c r="Q1" s="1293"/>
      <c r="R1" s="1294"/>
    </row>
    <row r="2" spans="1:26">
      <c r="O2" s="1295" t="s">
        <v>1657</v>
      </c>
      <c r="P2" s="1296"/>
      <c r="Q2" s="1296"/>
      <c r="R2" s="1297"/>
    </row>
    <row r="3" spans="1:26">
      <c r="O3" s="1295" t="s">
        <v>976</v>
      </c>
      <c r="P3" s="1296"/>
      <c r="Q3" s="1296"/>
      <c r="R3" s="1297"/>
    </row>
    <row r="4" spans="1:26">
      <c r="O4" s="1298"/>
      <c r="P4" s="1299"/>
      <c r="Q4" s="1299"/>
      <c r="R4" s="1300"/>
    </row>
    <row r="7" spans="1:26" ht="126">
      <c r="A7" s="816" t="s">
        <v>879</v>
      </c>
      <c r="B7" s="99" t="s">
        <v>1358</v>
      </c>
      <c r="C7" s="99" t="s">
        <v>1359</v>
      </c>
      <c r="D7" s="100" t="s">
        <v>1360</v>
      </c>
      <c r="E7" s="101" t="s">
        <v>1361</v>
      </c>
      <c r="F7" s="101" t="s">
        <v>1362</v>
      </c>
      <c r="G7" s="101" t="s">
        <v>1363</v>
      </c>
      <c r="H7" s="101" t="s">
        <v>1118</v>
      </c>
      <c r="I7" s="102" t="s">
        <v>1364</v>
      </c>
      <c r="J7" s="103" t="s">
        <v>1365</v>
      </c>
      <c r="K7" s="103" t="s">
        <v>1366</v>
      </c>
      <c r="L7" s="103" t="s">
        <v>1367</v>
      </c>
      <c r="M7" s="103" t="s">
        <v>1368</v>
      </c>
      <c r="N7" s="103" t="s">
        <v>1369</v>
      </c>
      <c r="O7" s="104" t="s">
        <v>1370</v>
      </c>
      <c r="P7" s="105" t="s">
        <v>1371</v>
      </c>
      <c r="Q7" s="105" t="s">
        <v>1372</v>
      </c>
      <c r="R7" s="106" t="s">
        <v>2079</v>
      </c>
      <c r="S7" s="99" t="s">
        <v>1374</v>
      </c>
      <c r="T7" s="99" t="s">
        <v>101</v>
      </c>
      <c r="U7" s="107" t="s">
        <v>1375</v>
      </c>
      <c r="V7" s="108" t="s">
        <v>1376</v>
      </c>
      <c r="W7" s="106" t="s">
        <v>1373</v>
      </c>
      <c r="X7" s="99" t="s">
        <v>1377</v>
      </c>
      <c r="Y7" s="99" t="s">
        <v>1378</v>
      </c>
      <c r="Z7" s="99"/>
    </row>
    <row r="8" spans="1:26">
      <c r="A8" s="6">
        <v>1</v>
      </c>
      <c r="B8" s="109" t="s">
        <v>1379</v>
      </c>
      <c r="C8" s="109" t="s">
        <v>1380</v>
      </c>
      <c r="D8" s="110">
        <v>4579.78</v>
      </c>
      <c r="E8" s="111">
        <v>5301.53</v>
      </c>
      <c r="F8" s="111">
        <v>16669.349999999999</v>
      </c>
      <c r="G8" s="111">
        <v>14555.130000000001</v>
      </c>
      <c r="H8" s="111">
        <v>13030.86</v>
      </c>
      <c r="I8" s="112">
        <v>5648.89</v>
      </c>
      <c r="J8" s="113">
        <v>27209.15</v>
      </c>
      <c r="K8" s="113">
        <v>27359.22</v>
      </c>
      <c r="L8" s="113">
        <v>27510.100000000002</v>
      </c>
      <c r="M8" s="113">
        <v>27661.82</v>
      </c>
      <c r="N8" s="113">
        <v>27814.38</v>
      </c>
      <c r="O8" s="113">
        <v>27967.77</v>
      </c>
      <c r="P8" s="114">
        <v>43100</v>
      </c>
      <c r="Q8" s="115">
        <v>303</v>
      </c>
      <c r="R8" s="116">
        <v>225307.98</v>
      </c>
      <c r="S8" s="800">
        <f>+'State Allocation Formulas'!$L$25</f>
        <v>0.77239999999999998</v>
      </c>
      <c r="T8" s="117">
        <f>+R8*S8</f>
        <v>174027.88375199999</v>
      </c>
      <c r="U8" s="118">
        <f>SUM(D8:I8)</f>
        <v>59785.539999999994</v>
      </c>
      <c r="V8" s="119">
        <f>SUM(J8:O8)</f>
        <v>165522.44</v>
      </c>
      <c r="W8" s="116">
        <f>U8+V8</f>
        <v>225307.97999999998</v>
      </c>
      <c r="X8" s="120">
        <f>+T8</f>
        <v>174027.88375199999</v>
      </c>
      <c r="Y8" s="121">
        <v>7</v>
      </c>
      <c r="Z8" s="109"/>
    </row>
    <row r="9" spans="1:26">
      <c r="A9" s="6">
        <v>2</v>
      </c>
      <c r="B9" s="109" t="s">
        <v>1379</v>
      </c>
      <c r="C9" s="109" t="s">
        <v>1381</v>
      </c>
      <c r="D9" s="110">
        <v>2229</v>
      </c>
      <c r="E9" s="111">
        <v>1521.7</v>
      </c>
      <c r="F9" s="111">
        <v>2380.2600000000002</v>
      </c>
      <c r="G9" s="111">
        <v>3474.1</v>
      </c>
      <c r="H9" s="111">
        <v>25379.87</v>
      </c>
      <c r="I9" s="112">
        <v>55296.959999999999</v>
      </c>
      <c r="J9" s="113">
        <v>23211.14</v>
      </c>
      <c r="K9" s="113">
        <v>34103.15</v>
      </c>
      <c r="L9" s="113">
        <v>34291.230000000003</v>
      </c>
      <c r="M9" s="113">
        <v>34480.35</v>
      </c>
      <c r="N9" s="113">
        <v>34670.5</v>
      </c>
      <c r="O9" s="113">
        <v>45625.72</v>
      </c>
      <c r="P9" s="114">
        <v>43100</v>
      </c>
      <c r="Q9" s="115">
        <v>303</v>
      </c>
      <c r="R9" s="116">
        <v>296663.98</v>
      </c>
      <c r="S9" s="800">
        <f>+'State Allocation Formulas'!$L$25</f>
        <v>0.77239999999999998</v>
      </c>
      <c r="T9" s="117">
        <f t="shared" ref="T9:T21" si="0">+R9*S9</f>
        <v>229143.25815199997</v>
      </c>
      <c r="U9" s="118">
        <f t="shared" ref="U9:U22" si="1">SUM(D9:I9)</f>
        <v>90281.89</v>
      </c>
      <c r="V9" s="119">
        <f t="shared" ref="V9:V22" si="2">SUM(J9:O9)</f>
        <v>206382.09</v>
      </c>
      <c r="W9" s="116">
        <f t="shared" ref="W9:W22" si="3">U9+V9</f>
        <v>296663.98</v>
      </c>
      <c r="X9" s="120"/>
      <c r="Y9" s="121" t="s">
        <v>1385</v>
      </c>
      <c r="Z9" s="109"/>
    </row>
    <row r="10" spans="1:26">
      <c r="A10" s="6">
        <v>3</v>
      </c>
      <c r="B10" s="109" t="s">
        <v>1379</v>
      </c>
      <c r="C10" s="109" t="s">
        <v>1382</v>
      </c>
      <c r="D10" s="110">
        <v>2244.94</v>
      </c>
      <c r="E10" s="111">
        <v>0</v>
      </c>
      <c r="F10" s="111">
        <v>0</v>
      </c>
      <c r="G10" s="111">
        <v>0</v>
      </c>
      <c r="H10" s="111">
        <v>0</v>
      </c>
      <c r="I10" s="112">
        <v>0</v>
      </c>
      <c r="J10" s="113">
        <v>0</v>
      </c>
      <c r="K10" s="113">
        <v>0</v>
      </c>
      <c r="L10" s="113">
        <v>0</v>
      </c>
      <c r="M10" s="113">
        <v>0</v>
      </c>
      <c r="N10" s="113">
        <v>0</v>
      </c>
      <c r="O10" s="113">
        <v>0</v>
      </c>
      <c r="P10" s="114">
        <v>42124</v>
      </c>
      <c r="Q10" s="115">
        <v>303</v>
      </c>
      <c r="R10" s="116">
        <v>2244.94</v>
      </c>
      <c r="S10" s="800">
        <f>+'State Allocation Formulas'!$L$25</f>
        <v>0.77239999999999998</v>
      </c>
      <c r="T10" s="117">
        <f t="shared" si="0"/>
        <v>1733.9916559999999</v>
      </c>
      <c r="U10" s="118">
        <f t="shared" si="1"/>
        <v>2244.94</v>
      </c>
      <c r="V10" s="119">
        <f t="shared" si="2"/>
        <v>0</v>
      </c>
      <c r="W10" s="116">
        <f t="shared" si="3"/>
        <v>2244.94</v>
      </c>
      <c r="X10" s="120">
        <f t="shared" ref="X10:X21" si="4">+T10</f>
        <v>1733.9916559999999</v>
      </c>
      <c r="Y10" s="121">
        <v>9</v>
      </c>
      <c r="Z10" s="109"/>
    </row>
    <row r="11" spans="1:26">
      <c r="A11" s="6">
        <v>4</v>
      </c>
      <c r="B11" s="109" t="s">
        <v>1379</v>
      </c>
      <c r="C11" s="109" t="s">
        <v>1383</v>
      </c>
      <c r="D11" s="110">
        <v>181.94</v>
      </c>
      <c r="E11" s="111">
        <v>183.04</v>
      </c>
      <c r="F11" s="111">
        <v>184.16</v>
      </c>
      <c r="G11" s="111">
        <v>0</v>
      </c>
      <c r="H11" s="122">
        <v>0</v>
      </c>
      <c r="I11" s="112">
        <v>0</v>
      </c>
      <c r="J11" s="113">
        <v>0</v>
      </c>
      <c r="K11" s="113">
        <v>0</v>
      </c>
      <c r="L11" s="113">
        <v>0</v>
      </c>
      <c r="M11" s="113">
        <v>0</v>
      </c>
      <c r="N11" s="113">
        <v>0</v>
      </c>
      <c r="O11" s="113">
        <v>0</v>
      </c>
      <c r="P11" s="114">
        <v>40908</v>
      </c>
      <c r="Q11" s="115">
        <v>303</v>
      </c>
      <c r="R11" s="116">
        <v>549.14</v>
      </c>
      <c r="S11" s="800">
        <f>+'State Allocation Formulas'!$L$25</f>
        <v>0.77239999999999998</v>
      </c>
      <c r="T11" s="117">
        <f t="shared" si="0"/>
        <v>424.15573599999999</v>
      </c>
      <c r="U11" s="118">
        <f t="shared" si="1"/>
        <v>549.14</v>
      </c>
      <c r="V11" s="119">
        <f t="shared" si="2"/>
        <v>0</v>
      </c>
      <c r="W11" s="116">
        <f t="shared" si="3"/>
        <v>549.14</v>
      </c>
      <c r="X11" s="120"/>
      <c r="Y11" s="121" t="s">
        <v>1385</v>
      </c>
      <c r="Z11" s="109"/>
    </row>
    <row r="12" spans="1:26">
      <c r="A12" s="6">
        <v>5</v>
      </c>
      <c r="B12" s="109" t="s">
        <v>1379</v>
      </c>
      <c r="C12" s="109" t="s">
        <v>1384</v>
      </c>
      <c r="D12" s="110">
        <v>5053.25</v>
      </c>
      <c r="E12" s="111">
        <v>3746.89</v>
      </c>
      <c r="F12" s="111">
        <v>11336.18</v>
      </c>
      <c r="G12" s="111">
        <v>117570.51000000001</v>
      </c>
      <c r="H12" s="111">
        <v>717.04</v>
      </c>
      <c r="I12" s="112">
        <v>17165.09</v>
      </c>
      <c r="J12" s="113">
        <v>61108.6</v>
      </c>
      <c r="K12" s="113">
        <v>29153.62</v>
      </c>
      <c r="L12" s="113">
        <v>29314.41</v>
      </c>
      <c r="M12" s="113">
        <v>11500.19</v>
      </c>
      <c r="N12" s="113">
        <v>11563.62</v>
      </c>
      <c r="O12" s="113">
        <v>11627.39</v>
      </c>
      <c r="P12" s="114">
        <v>43220</v>
      </c>
      <c r="Q12" s="115">
        <v>303</v>
      </c>
      <c r="R12" s="116">
        <v>309856.78999999998</v>
      </c>
      <c r="S12" s="800">
        <f>+'State Allocation Formulas'!$L$25</f>
        <v>0.77239999999999998</v>
      </c>
      <c r="T12" s="117">
        <f t="shared" si="0"/>
        <v>239333.38459599999</v>
      </c>
      <c r="U12" s="118">
        <f t="shared" si="1"/>
        <v>155588.96000000002</v>
      </c>
      <c r="V12" s="119">
        <f t="shared" si="2"/>
        <v>154267.83000000002</v>
      </c>
      <c r="W12" s="116">
        <f t="shared" si="3"/>
        <v>309856.79000000004</v>
      </c>
      <c r="X12" s="120"/>
      <c r="Y12" s="121" t="s">
        <v>1385</v>
      </c>
      <c r="Z12" s="109"/>
    </row>
    <row r="13" spans="1:26">
      <c r="A13" s="6">
        <v>6</v>
      </c>
      <c r="B13" s="109" t="s">
        <v>1379</v>
      </c>
      <c r="C13" s="109" t="s">
        <v>1386</v>
      </c>
      <c r="D13" s="110">
        <v>2454.19</v>
      </c>
      <c r="E13" s="111">
        <v>48.44</v>
      </c>
      <c r="F13" s="111">
        <v>10572.23</v>
      </c>
      <c r="G13" s="111">
        <v>1015.26</v>
      </c>
      <c r="H13" s="111">
        <v>819.62</v>
      </c>
      <c r="I13" s="112">
        <v>56207.33</v>
      </c>
      <c r="J13" s="113">
        <v>30556.83</v>
      </c>
      <c r="K13" s="113">
        <v>30725.350000000002</v>
      </c>
      <c r="L13" s="113">
        <v>38346.35</v>
      </c>
      <c r="M13" s="113">
        <v>38557.840000000004</v>
      </c>
      <c r="N13" s="113">
        <v>38770.480000000003</v>
      </c>
      <c r="O13" s="113">
        <v>38984.31</v>
      </c>
      <c r="P13" s="114">
        <v>44531</v>
      </c>
      <c r="Q13" s="115">
        <v>303</v>
      </c>
      <c r="R13" s="116">
        <v>287058.23</v>
      </c>
      <c r="S13" s="800">
        <f>+'State Allocation Formulas'!$L$25</f>
        <v>0.77239999999999998</v>
      </c>
      <c r="T13" s="117">
        <f t="shared" si="0"/>
        <v>221723.77685199998</v>
      </c>
      <c r="U13" s="118">
        <f t="shared" si="1"/>
        <v>71117.070000000007</v>
      </c>
      <c r="V13" s="119">
        <f t="shared" si="2"/>
        <v>215941.16</v>
      </c>
      <c r="W13" s="116">
        <f t="shared" si="3"/>
        <v>287058.23</v>
      </c>
      <c r="X13" s="120">
        <f t="shared" si="4"/>
        <v>221723.77685199998</v>
      </c>
      <c r="Y13" s="121">
        <v>35</v>
      </c>
      <c r="Z13" s="109"/>
    </row>
    <row r="14" spans="1:26">
      <c r="A14" s="6">
        <v>7</v>
      </c>
      <c r="B14" s="109" t="s">
        <v>1379</v>
      </c>
      <c r="C14" s="109" t="s">
        <v>1387</v>
      </c>
      <c r="D14" s="110">
        <v>2512.64</v>
      </c>
      <c r="E14" s="111">
        <v>0</v>
      </c>
      <c r="F14" s="111">
        <v>-2512.64</v>
      </c>
      <c r="G14" s="111">
        <v>0</v>
      </c>
      <c r="H14" s="111">
        <v>3424.3</v>
      </c>
      <c r="I14" s="112">
        <v>1567.31</v>
      </c>
      <c r="J14" s="113">
        <v>12944.33</v>
      </c>
      <c r="K14" s="113">
        <v>14272.32</v>
      </c>
      <c r="L14" s="113">
        <v>14351.02</v>
      </c>
      <c r="M14" s="113">
        <v>14430.17</v>
      </c>
      <c r="N14" s="113">
        <v>14509.76</v>
      </c>
      <c r="O14" s="113">
        <v>14589.77</v>
      </c>
      <c r="P14" s="114">
        <v>43830</v>
      </c>
      <c r="Q14" s="115">
        <v>303</v>
      </c>
      <c r="R14" s="116">
        <v>90088.98</v>
      </c>
      <c r="S14" s="800">
        <f>+'State Allocation Formulas'!$L$25</f>
        <v>0.77239999999999998</v>
      </c>
      <c r="T14" s="117">
        <f t="shared" si="0"/>
        <v>69584.728151999996</v>
      </c>
      <c r="U14" s="118">
        <f t="shared" si="1"/>
        <v>4991.6100000000006</v>
      </c>
      <c r="V14" s="119">
        <f t="shared" si="2"/>
        <v>85097.37</v>
      </c>
      <c r="W14" s="116">
        <f t="shared" si="3"/>
        <v>90088.98</v>
      </c>
      <c r="X14" s="120"/>
      <c r="Y14" s="121" t="s">
        <v>1385</v>
      </c>
      <c r="Z14" s="109"/>
    </row>
    <row r="15" spans="1:26">
      <c r="A15" s="6">
        <v>8</v>
      </c>
      <c r="B15" s="109" t="s">
        <v>1379</v>
      </c>
      <c r="C15" s="109" t="s">
        <v>1388</v>
      </c>
      <c r="D15" s="110">
        <v>19907.98</v>
      </c>
      <c r="E15" s="111">
        <v>22622.22</v>
      </c>
      <c r="F15" s="111">
        <v>17942.170000000002</v>
      </c>
      <c r="G15" s="111">
        <v>16316.140000000001</v>
      </c>
      <c r="H15" s="111">
        <v>23348.65</v>
      </c>
      <c r="I15" s="112">
        <v>11262.17</v>
      </c>
      <c r="J15" s="113">
        <v>42078.99</v>
      </c>
      <c r="K15" s="113">
        <v>41063.99</v>
      </c>
      <c r="L15" s="113">
        <v>41063.99</v>
      </c>
      <c r="M15" s="113">
        <v>41063.99</v>
      </c>
      <c r="N15" s="113">
        <v>0</v>
      </c>
      <c r="O15" s="113">
        <v>0</v>
      </c>
      <c r="P15" s="114">
        <v>42917</v>
      </c>
      <c r="Q15" s="115">
        <v>303</v>
      </c>
      <c r="R15" s="116">
        <v>276670.28999999998</v>
      </c>
      <c r="S15" s="800">
        <f>+'State Allocation Formulas'!$L$25</f>
        <v>0.77239999999999998</v>
      </c>
      <c r="T15" s="117">
        <f t="shared" si="0"/>
        <v>213700.13199599998</v>
      </c>
      <c r="U15" s="118">
        <f t="shared" si="1"/>
        <v>111399.33</v>
      </c>
      <c r="V15" s="119">
        <f t="shared" si="2"/>
        <v>165270.96</v>
      </c>
      <c r="W15" s="116">
        <f t="shared" si="3"/>
        <v>276670.28999999998</v>
      </c>
      <c r="X15" s="120">
        <f t="shared" si="4"/>
        <v>213700.13199599998</v>
      </c>
      <c r="Y15" s="121">
        <v>41</v>
      </c>
      <c r="Z15" s="109"/>
    </row>
    <row r="16" spans="1:26">
      <c r="A16" s="6">
        <v>9</v>
      </c>
      <c r="B16" s="109" t="s">
        <v>1379</v>
      </c>
      <c r="C16" s="109" t="s">
        <v>1389</v>
      </c>
      <c r="D16" s="110">
        <v>-454.28000000000003</v>
      </c>
      <c r="E16" s="111">
        <v>0</v>
      </c>
      <c r="F16" s="111">
        <v>0</v>
      </c>
      <c r="G16" s="111">
        <v>0</v>
      </c>
      <c r="H16" s="111">
        <v>0</v>
      </c>
      <c r="I16" s="112">
        <v>0</v>
      </c>
      <c r="J16" s="113">
        <v>21528</v>
      </c>
      <c r="K16" s="113">
        <v>118.73</v>
      </c>
      <c r="L16" s="113">
        <v>119.38</v>
      </c>
      <c r="M16" s="113">
        <v>120.04</v>
      </c>
      <c r="N16" s="113">
        <v>120.7</v>
      </c>
      <c r="O16" s="113">
        <v>121.37</v>
      </c>
      <c r="P16" s="114">
        <v>44408</v>
      </c>
      <c r="Q16" s="115">
        <v>303</v>
      </c>
      <c r="R16" s="116">
        <v>21673.94</v>
      </c>
      <c r="S16" s="800">
        <f>+'State Allocation Formulas'!$L$25</f>
        <v>0.77239999999999998</v>
      </c>
      <c r="T16" s="117">
        <f t="shared" si="0"/>
        <v>16740.951255999997</v>
      </c>
      <c r="U16" s="118">
        <f t="shared" si="1"/>
        <v>-454.28000000000003</v>
      </c>
      <c r="V16" s="119">
        <f t="shared" si="2"/>
        <v>22128.22</v>
      </c>
      <c r="W16" s="116">
        <f t="shared" si="3"/>
        <v>21673.940000000002</v>
      </c>
      <c r="X16" s="120">
        <f>+T16</f>
        <v>16740.951255999997</v>
      </c>
      <c r="Y16" s="121">
        <v>42</v>
      </c>
      <c r="Z16" s="117"/>
    </row>
    <row r="17" spans="1:26">
      <c r="A17" s="6">
        <v>10</v>
      </c>
      <c r="B17" s="109" t="s">
        <v>1379</v>
      </c>
      <c r="C17" s="109" t="s">
        <v>1390</v>
      </c>
      <c r="D17" s="110">
        <v>0</v>
      </c>
      <c r="E17" s="111">
        <v>0</v>
      </c>
      <c r="F17" s="111">
        <v>0</v>
      </c>
      <c r="G17" s="111">
        <v>0</v>
      </c>
      <c r="H17" s="111">
        <v>0</v>
      </c>
      <c r="I17" s="112">
        <v>0</v>
      </c>
      <c r="J17" s="113">
        <v>5123.8500000000004</v>
      </c>
      <c r="K17" s="113">
        <v>5152.1099999999997</v>
      </c>
      <c r="L17" s="113">
        <v>5180.5200000000004</v>
      </c>
      <c r="M17" s="113">
        <v>5209.09</v>
      </c>
      <c r="N17" s="113">
        <v>5237.82</v>
      </c>
      <c r="O17" s="113">
        <v>5266.71</v>
      </c>
      <c r="P17" s="114">
        <v>43100</v>
      </c>
      <c r="Q17" s="115">
        <v>303</v>
      </c>
      <c r="R17" s="116">
        <v>31170.100000000002</v>
      </c>
      <c r="S17" s="800">
        <f>+'State Allocation Formulas'!$L$25</f>
        <v>0.77239999999999998</v>
      </c>
      <c r="T17" s="117">
        <f t="shared" si="0"/>
        <v>24075.785240000001</v>
      </c>
      <c r="U17" s="118">
        <f t="shared" si="1"/>
        <v>0</v>
      </c>
      <c r="V17" s="119">
        <f t="shared" si="2"/>
        <v>31170.1</v>
      </c>
      <c r="W17" s="116">
        <f t="shared" si="3"/>
        <v>31170.1</v>
      </c>
      <c r="X17" s="120">
        <f t="shared" si="4"/>
        <v>24075.785240000001</v>
      </c>
      <c r="Y17" s="121">
        <v>43</v>
      </c>
      <c r="Z17" s="109"/>
    </row>
    <row r="18" spans="1:26">
      <c r="A18" s="6">
        <v>11</v>
      </c>
      <c r="B18" s="109" t="s">
        <v>1379</v>
      </c>
      <c r="C18" s="109" t="s">
        <v>1391</v>
      </c>
      <c r="D18" s="110">
        <v>270.19</v>
      </c>
      <c r="E18" s="111">
        <v>271.82</v>
      </c>
      <c r="F18" s="111">
        <v>-2843.14</v>
      </c>
      <c r="G18" s="111">
        <v>0</v>
      </c>
      <c r="H18" s="111">
        <v>0</v>
      </c>
      <c r="I18" s="112">
        <v>0</v>
      </c>
      <c r="J18" s="113">
        <v>0</v>
      </c>
      <c r="K18" s="113">
        <v>0</v>
      </c>
      <c r="L18" s="113">
        <v>0</v>
      </c>
      <c r="M18" s="113">
        <v>0</v>
      </c>
      <c r="N18" s="113">
        <v>0</v>
      </c>
      <c r="O18" s="113">
        <v>0</v>
      </c>
      <c r="P18" s="114">
        <v>42004</v>
      </c>
      <c r="Q18" s="115">
        <v>303</v>
      </c>
      <c r="R18" s="116">
        <v>-2301.13</v>
      </c>
      <c r="S18" s="800">
        <f>+'State Allocation Formulas'!$L$25</f>
        <v>0.77239999999999998</v>
      </c>
      <c r="T18" s="117">
        <f t="shared" si="0"/>
        <v>-1777.392812</v>
      </c>
      <c r="U18" s="118">
        <f t="shared" si="1"/>
        <v>-2301.13</v>
      </c>
      <c r="V18" s="119">
        <f t="shared" si="2"/>
        <v>0</v>
      </c>
      <c r="W18" s="116">
        <f t="shared" si="3"/>
        <v>-2301.13</v>
      </c>
      <c r="X18" s="120"/>
      <c r="Y18" s="121" t="s">
        <v>1385</v>
      </c>
      <c r="Z18" s="109"/>
    </row>
    <row r="19" spans="1:26">
      <c r="A19" s="6">
        <v>12</v>
      </c>
      <c r="B19" s="109" t="s">
        <v>1379</v>
      </c>
      <c r="C19" s="109" t="s">
        <v>1392</v>
      </c>
      <c r="D19" s="110">
        <v>6223.95</v>
      </c>
      <c r="E19" s="111">
        <v>27101.57</v>
      </c>
      <c r="F19" s="111">
        <v>11331.39</v>
      </c>
      <c r="G19" s="111">
        <v>48868.270000000004</v>
      </c>
      <c r="H19" s="111">
        <v>25542.010000000002</v>
      </c>
      <c r="I19" s="112">
        <v>36582.28</v>
      </c>
      <c r="J19" s="113">
        <v>1355.3</v>
      </c>
      <c r="K19" s="113">
        <v>1362.77</v>
      </c>
      <c r="L19" s="113">
        <v>1370.29</v>
      </c>
      <c r="M19" s="113">
        <v>0</v>
      </c>
      <c r="N19" s="113">
        <v>0</v>
      </c>
      <c r="O19" s="113">
        <v>0</v>
      </c>
      <c r="P19" s="114">
        <v>43008</v>
      </c>
      <c r="Q19" s="115">
        <v>303</v>
      </c>
      <c r="R19" s="116">
        <v>159737.83000000002</v>
      </c>
      <c r="S19" s="800">
        <f>+'State Allocation Formulas'!$L$25</f>
        <v>0.77239999999999998</v>
      </c>
      <c r="T19" s="117">
        <f t="shared" si="0"/>
        <v>123381.49989200001</v>
      </c>
      <c r="U19" s="118">
        <f t="shared" si="1"/>
        <v>155649.47</v>
      </c>
      <c r="V19" s="119">
        <f t="shared" si="2"/>
        <v>4088.3599999999997</v>
      </c>
      <c r="W19" s="116">
        <f t="shared" si="3"/>
        <v>159737.82999999999</v>
      </c>
      <c r="X19" s="120">
        <f t="shared" si="4"/>
        <v>123381.49989200001</v>
      </c>
      <c r="Y19" s="121">
        <v>44</v>
      </c>
      <c r="Z19" s="109"/>
    </row>
    <row r="20" spans="1:26">
      <c r="A20" s="6">
        <v>13</v>
      </c>
      <c r="B20" s="109" t="s">
        <v>1379</v>
      </c>
      <c r="C20" s="109" t="s">
        <v>1393</v>
      </c>
      <c r="D20" s="110">
        <v>0</v>
      </c>
      <c r="E20" s="111">
        <v>0</v>
      </c>
      <c r="F20" s="111">
        <v>0</v>
      </c>
      <c r="G20" s="111">
        <v>0</v>
      </c>
      <c r="H20" s="111">
        <v>0</v>
      </c>
      <c r="I20" s="112">
        <v>0</v>
      </c>
      <c r="J20" s="113">
        <v>21976.5</v>
      </c>
      <c r="K20" s="113">
        <v>22097.7</v>
      </c>
      <c r="L20" s="113">
        <v>22219.56</v>
      </c>
      <c r="M20" s="113">
        <v>21976.5</v>
      </c>
      <c r="N20" s="113">
        <v>21976.5</v>
      </c>
      <c r="O20" s="113">
        <v>21976.5</v>
      </c>
      <c r="P20" s="114">
        <v>42979</v>
      </c>
      <c r="Q20" s="115">
        <v>303</v>
      </c>
      <c r="R20" s="116">
        <v>132223.26</v>
      </c>
      <c r="S20" s="800">
        <f>+'State Allocation Formulas'!$L$25</f>
        <v>0.77239999999999998</v>
      </c>
      <c r="T20" s="117">
        <f t="shared" si="0"/>
        <v>102129.24602400001</v>
      </c>
      <c r="U20" s="118">
        <f t="shared" si="1"/>
        <v>0</v>
      </c>
      <c r="V20" s="119">
        <f t="shared" si="2"/>
        <v>132223.26</v>
      </c>
      <c r="W20" s="116">
        <f t="shared" si="3"/>
        <v>132223.26</v>
      </c>
      <c r="X20" s="120">
        <f t="shared" si="4"/>
        <v>102129.24602400001</v>
      </c>
      <c r="Y20" s="121">
        <v>45</v>
      </c>
      <c r="Z20" s="109"/>
    </row>
    <row r="21" spans="1:26">
      <c r="A21" s="6">
        <v>14</v>
      </c>
      <c r="B21" s="109" t="s">
        <v>1379</v>
      </c>
      <c r="C21" s="109" t="s">
        <v>1394</v>
      </c>
      <c r="D21" s="110">
        <v>0</v>
      </c>
      <c r="E21" s="111">
        <v>0</v>
      </c>
      <c r="F21" s="111">
        <v>0</v>
      </c>
      <c r="G21" s="111">
        <v>0</v>
      </c>
      <c r="H21" s="111">
        <v>0</v>
      </c>
      <c r="I21" s="112">
        <v>0</v>
      </c>
      <c r="J21" s="113">
        <v>4395.3</v>
      </c>
      <c r="K21" s="113">
        <v>4419.54</v>
      </c>
      <c r="L21" s="113">
        <v>4443.92</v>
      </c>
      <c r="M21" s="113">
        <v>4395.3</v>
      </c>
      <c r="N21" s="113">
        <v>4395.3</v>
      </c>
      <c r="O21" s="113">
        <v>4395.3</v>
      </c>
      <c r="P21" s="114">
        <v>42979</v>
      </c>
      <c r="Q21" s="115">
        <v>303</v>
      </c>
      <c r="R21" s="116">
        <v>26444.66</v>
      </c>
      <c r="S21" s="800">
        <f>+'State Allocation Formulas'!$L$25</f>
        <v>0.77239999999999998</v>
      </c>
      <c r="T21" s="117">
        <f t="shared" si="0"/>
        <v>20425.855383999999</v>
      </c>
      <c r="U21" s="118">
        <f t="shared" si="1"/>
        <v>0</v>
      </c>
      <c r="V21" s="119">
        <f t="shared" si="2"/>
        <v>26444.66</v>
      </c>
      <c r="W21" s="116">
        <f t="shared" si="3"/>
        <v>26444.66</v>
      </c>
      <c r="X21" s="120">
        <f t="shared" si="4"/>
        <v>20425.855383999999</v>
      </c>
      <c r="Y21" s="121">
        <v>46</v>
      </c>
      <c r="Z21" s="109"/>
    </row>
    <row r="22" spans="1:26">
      <c r="A22" s="6">
        <v>15</v>
      </c>
      <c r="B22" s="123" t="s">
        <v>1379</v>
      </c>
      <c r="C22" s="123" t="s">
        <v>1395</v>
      </c>
      <c r="D22" s="124">
        <v>0</v>
      </c>
      <c r="E22" s="125">
        <v>0</v>
      </c>
      <c r="F22" s="125">
        <v>267.02</v>
      </c>
      <c r="G22" s="125">
        <v>99.67</v>
      </c>
      <c r="H22" s="125">
        <v>0</v>
      </c>
      <c r="I22" s="126">
        <v>0</v>
      </c>
      <c r="J22" s="115">
        <v>791.67000000000007</v>
      </c>
      <c r="K22" s="115">
        <v>791.67000000000007</v>
      </c>
      <c r="L22" s="115">
        <v>791.67000000000007</v>
      </c>
      <c r="M22" s="115">
        <v>791.67000000000007</v>
      </c>
      <c r="N22" s="115">
        <v>791.67000000000007</v>
      </c>
      <c r="O22" s="115">
        <v>791.67000000000007</v>
      </c>
      <c r="P22" s="114">
        <v>43100</v>
      </c>
      <c r="Q22" s="115">
        <v>303</v>
      </c>
      <c r="R22" s="127">
        <v>5116.71</v>
      </c>
      <c r="S22" s="123" t="s">
        <v>1396</v>
      </c>
      <c r="T22" s="117"/>
      <c r="U22" s="128">
        <f t="shared" si="1"/>
        <v>366.69</v>
      </c>
      <c r="V22" s="128">
        <f t="shared" si="2"/>
        <v>4750.0200000000004</v>
      </c>
      <c r="W22" s="128">
        <f t="shared" si="3"/>
        <v>5116.71</v>
      </c>
      <c r="X22" s="109"/>
      <c r="Y22" s="121"/>
      <c r="Z22" s="109"/>
    </row>
    <row r="23" spans="1:26">
      <c r="A23" s="6">
        <v>16</v>
      </c>
      <c r="B23" s="129"/>
      <c r="C23" s="130" t="s">
        <v>1397</v>
      </c>
      <c r="D23" s="131">
        <f>SUM(D8:D22)</f>
        <v>45203.58</v>
      </c>
      <c r="E23" s="132">
        <f>SUM(E8:E22)</f>
        <v>60797.21</v>
      </c>
      <c r="F23" s="132">
        <f>SUM(F8:F22)</f>
        <v>65326.98</v>
      </c>
      <c r="G23" s="132">
        <f>SUM(G8:G22)</f>
        <v>201899.08000000005</v>
      </c>
      <c r="H23" s="132">
        <f>SUM(H8:H22)</f>
        <v>92262.35</v>
      </c>
      <c r="I23" s="133">
        <f t="shared" ref="I23:N23" si="5">SUM(I8:I22)</f>
        <v>183730.03000000003</v>
      </c>
      <c r="J23" s="134">
        <f t="shared" si="5"/>
        <v>252279.65999999997</v>
      </c>
      <c r="K23" s="134">
        <f t="shared" si="5"/>
        <v>210620.17</v>
      </c>
      <c r="L23" s="134">
        <f t="shared" si="5"/>
        <v>219002.44</v>
      </c>
      <c r="M23" s="134">
        <f t="shared" si="5"/>
        <v>200186.96000000002</v>
      </c>
      <c r="N23" s="134">
        <f t="shared" si="5"/>
        <v>159850.73000000001</v>
      </c>
      <c r="O23" s="134">
        <f>SUM(O8:O22)</f>
        <v>171346.50999999998</v>
      </c>
      <c r="P23" s="135"/>
      <c r="Q23" s="135"/>
      <c r="R23" s="136">
        <f>SUM(R8:R22)</f>
        <v>1862505.7</v>
      </c>
      <c r="S23" s="129"/>
      <c r="T23" s="137">
        <f>SUM(T8:T22)</f>
        <v>1434647.2558760005</v>
      </c>
      <c r="U23" s="138">
        <f>SUM(U8:U22)</f>
        <v>649219.23</v>
      </c>
      <c r="V23" s="139">
        <f>SUM(V8:V22)</f>
        <v>1213286.47</v>
      </c>
      <c r="W23" s="136">
        <f>SUM(W8:W22)</f>
        <v>1862505.7000000002</v>
      </c>
      <c r="X23" s="137">
        <f>SUM(X8:X22)</f>
        <v>897939.1220519999</v>
      </c>
      <c r="Y23" s="140"/>
      <c r="Z23" s="129"/>
    </row>
    <row r="24" spans="1:26">
      <c r="A24" s="6">
        <v>17</v>
      </c>
      <c r="B24" s="129" t="s">
        <v>1654</v>
      </c>
      <c r="C24" s="129"/>
      <c r="D24" s="110"/>
      <c r="E24" s="111"/>
      <c r="F24" s="111"/>
      <c r="G24" s="111"/>
      <c r="H24" s="111"/>
      <c r="I24" s="112"/>
      <c r="J24" s="113"/>
      <c r="K24" s="113"/>
      <c r="L24" s="113"/>
      <c r="M24" s="113"/>
      <c r="N24" s="113"/>
      <c r="O24" s="141"/>
      <c r="P24" s="125"/>
      <c r="Q24" s="125"/>
      <c r="R24" s="116"/>
      <c r="S24" s="129"/>
      <c r="T24" s="142"/>
      <c r="U24" s="118"/>
      <c r="V24" s="119"/>
      <c r="W24" s="116"/>
      <c r="X24" s="129"/>
      <c r="Y24" s="140"/>
      <c r="Z24" s="129"/>
    </row>
    <row r="25" spans="1:26">
      <c r="B25" s="129"/>
      <c r="C25" s="130"/>
      <c r="D25" s="110"/>
      <c r="E25" s="111"/>
      <c r="F25" s="111"/>
      <c r="G25" s="111"/>
      <c r="H25" s="111"/>
      <c r="I25" s="112">
        <f>SUM(D23:I23)</f>
        <v>649219.2300000001</v>
      </c>
      <c r="J25" s="113"/>
      <c r="K25" s="113"/>
      <c r="L25" s="113"/>
      <c r="M25" s="113"/>
      <c r="N25" s="113"/>
      <c r="O25" s="141">
        <f>SUM(J23:O23)</f>
        <v>1213286.47</v>
      </c>
      <c r="P25" s="125"/>
      <c r="Q25" s="125"/>
      <c r="R25" s="116"/>
      <c r="S25" s="129"/>
      <c r="T25" s="142"/>
      <c r="U25" s="118"/>
      <c r="V25" s="119"/>
      <c r="W25" s="116"/>
      <c r="X25" s="129"/>
      <c r="Y25" s="140"/>
      <c r="Z25" s="129"/>
    </row>
    <row r="26" spans="1:26">
      <c r="B26" s="129"/>
      <c r="C26" s="129"/>
      <c r="D26" s="110"/>
      <c r="E26" s="111"/>
      <c r="F26" s="111"/>
      <c r="G26" s="111"/>
      <c r="H26" s="111"/>
      <c r="I26" s="112"/>
      <c r="J26" s="113"/>
      <c r="K26" s="113"/>
      <c r="L26" s="113"/>
      <c r="M26" s="113"/>
      <c r="N26" s="113"/>
      <c r="O26" s="141"/>
      <c r="P26" s="125"/>
      <c r="Q26" s="125"/>
      <c r="R26" s="116"/>
      <c r="S26" s="129"/>
      <c r="T26" s="142"/>
      <c r="U26" s="118"/>
      <c r="V26" s="119"/>
      <c r="W26" s="116"/>
      <c r="X26" s="129"/>
      <c r="Y26" s="140"/>
      <c r="Z26" s="129"/>
    </row>
    <row r="27" spans="1:26">
      <c r="A27" s="6">
        <v>18</v>
      </c>
      <c r="B27" s="109" t="s">
        <v>1398</v>
      </c>
      <c r="C27" s="109" t="s">
        <v>1399</v>
      </c>
      <c r="D27" s="110">
        <v>7025.21</v>
      </c>
      <c r="E27" s="111">
        <v>4262.29</v>
      </c>
      <c r="F27" s="111">
        <v>44902.51</v>
      </c>
      <c r="G27" s="111">
        <v>-12102.300000000001</v>
      </c>
      <c r="H27" s="111">
        <v>80907.680000000008</v>
      </c>
      <c r="I27" s="112">
        <v>29116.46</v>
      </c>
      <c r="J27" s="113">
        <v>44197.88</v>
      </c>
      <c r="K27" s="113">
        <v>44197.88</v>
      </c>
      <c r="L27" s="113">
        <v>44197.88</v>
      </c>
      <c r="M27" s="113">
        <v>44197.88</v>
      </c>
      <c r="N27" s="113">
        <v>44197.88</v>
      </c>
      <c r="O27" s="113">
        <v>126897.23</v>
      </c>
      <c r="P27" s="115"/>
      <c r="Q27" s="115"/>
      <c r="R27" s="116">
        <v>501998.48</v>
      </c>
      <c r="S27" s="109"/>
      <c r="T27" s="117"/>
      <c r="U27" s="118">
        <f t="shared" ref="U27:U90" si="6">SUM(D27:I27)</f>
        <v>154111.85</v>
      </c>
      <c r="V27" s="119">
        <f t="shared" ref="V27:V90" si="7">SUM(J27:O27)</f>
        <v>347886.63</v>
      </c>
      <c r="W27" s="116">
        <f t="shared" ref="W27:W90" si="8">U27+V27</f>
        <v>501998.48</v>
      </c>
      <c r="X27" s="109"/>
      <c r="Y27" s="121"/>
      <c r="Z27" s="109"/>
    </row>
    <row r="28" spans="1:26">
      <c r="A28" s="6">
        <v>19</v>
      </c>
      <c r="B28" s="109" t="s">
        <v>1398</v>
      </c>
      <c r="C28" s="109" t="s">
        <v>1400</v>
      </c>
      <c r="D28" s="110">
        <v>0</v>
      </c>
      <c r="E28" s="111">
        <v>0</v>
      </c>
      <c r="F28" s="111">
        <v>0</v>
      </c>
      <c r="G28" s="111">
        <v>0</v>
      </c>
      <c r="H28" s="111">
        <v>0</v>
      </c>
      <c r="I28" s="112">
        <v>0</v>
      </c>
      <c r="J28" s="113">
        <v>6324.5</v>
      </c>
      <c r="K28" s="113">
        <v>6324.5</v>
      </c>
      <c r="L28" s="113">
        <v>6324.5</v>
      </c>
      <c r="M28" s="113">
        <v>6324.5</v>
      </c>
      <c r="N28" s="113">
        <v>6324.5</v>
      </c>
      <c r="O28" s="113">
        <v>6324.5</v>
      </c>
      <c r="P28" s="115"/>
      <c r="Q28" s="115"/>
      <c r="R28" s="116">
        <v>37947</v>
      </c>
      <c r="S28" s="109"/>
      <c r="T28" s="117"/>
      <c r="U28" s="118">
        <f t="shared" si="6"/>
        <v>0</v>
      </c>
      <c r="V28" s="119">
        <f t="shared" si="7"/>
        <v>37947</v>
      </c>
      <c r="W28" s="116">
        <f t="shared" si="8"/>
        <v>37947</v>
      </c>
      <c r="X28" s="109"/>
      <c r="Y28" s="121"/>
      <c r="Z28" s="109"/>
    </row>
    <row r="29" spans="1:26">
      <c r="A29" s="6">
        <v>20</v>
      </c>
      <c r="B29" s="109" t="s">
        <v>1398</v>
      </c>
      <c r="C29" s="109" t="s">
        <v>1401</v>
      </c>
      <c r="D29" s="110">
        <v>3394.29</v>
      </c>
      <c r="E29" s="111">
        <v>239.51</v>
      </c>
      <c r="F29" s="111">
        <v>23740.81</v>
      </c>
      <c r="G29" s="111">
        <v>58620.25</v>
      </c>
      <c r="H29" s="111">
        <v>42423.87</v>
      </c>
      <c r="I29" s="112">
        <v>15083.32</v>
      </c>
      <c r="J29" s="113">
        <v>32939.26</v>
      </c>
      <c r="K29" s="113">
        <v>32939.26</v>
      </c>
      <c r="L29" s="113">
        <v>32939.26</v>
      </c>
      <c r="M29" s="113">
        <v>32939.26</v>
      </c>
      <c r="N29" s="113">
        <v>32939.26</v>
      </c>
      <c r="O29" s="113">
        <v>88543</v>
      </c>
      <c r="P29" s="115"/>
      <c r="Q29" s="115"/>
      <c r="R29" s="116">
        <v>396741.35000000003</v>
      </c>
      <c r="S29" s="109"/>
      <c r="T29" s="117"/>
      <c r="U29" s="118">
        <f t="shared" si="6"/>
        <v>143502.05000000002</v>
      </c>
      <c r="V29" s="119">
        <f t="shared" si="7"/>
        <v>253239.30000000002</v>
      </c>
      <c r="W29" s="116">
        <f t="shared" si="8"/>
        <v>396741.35000000003</v>
      </c>
      <c r="X29" s="109"/>
      <c r="Y29" s="121"/>
      <c r="Z29" s="109"/>
    </row>
    <row r="30" spans="1:26">
      <c r="A30" s="6">
        <v>21</v>
      </c>
      <c r="B30" s="109" t="s">
        <v>1398</v>
      </c>
      <c r="C30" s="109" t="s">
        <v>1402</v>
      </c>
      <c r="D30" s="110">
        <v>0</v>
      </c>
      <c r="E30" s="111">
        <v>0</v>
      </c>
      <c r="F30" s="111">
        <v>0</v>
      </c>
      <c r="G30" s="111">
        <v>0</v>
      </c>
      <c r="H30" s="111">
        <v>0</v>
      </c>
      <c r="I30" s="112">
        <v>0</v>
      </c>
      <c r="J30" s="113">
        <v>0</v>
      </c>
      <c r="K30" s="113">
        <v>0</v>
      </c>
      <c r="L30" s="113">
        <v>0</v>
      </c>
      <c r="M30" s="113">
        <v>0</v>
      </c>
      <c r="N30" s="113">
        <v>0</v>
      </c>
      <c r="O30" s="113">
        <v>69109.960000000006</v>
      </c>
      <c r="P30" s="115"/>
      <c r="Q30" s="115"/>
      <c r="R30" s="116">
        <v>69109.960000000006</v>
      </c>
      <c r="S30" s="109"/>
      <c r="T30" s="117"/>
      <c r="U30" s="118">
        <f t="shared" si="6"/>
        <v>0</v>
      </c>
      <c r="V30" s="119">
        <f t="shared" si="7"/>
        <v>69109.960000000006</v>
      </c>
      <c r="W30" s="116">
        <f t="shared" si="8"/>
        <v>69109.960000000006</v>
      </c>
      <c r="X30" s="109"/>
      <c r="Y30" s="121"/>
      <c r="Z30" s="109"/>
    </row>
    <row r="31" spans="1:26">
      <c r="A31" s="6">
        <v>22</v>
      </c>
      <c r="B31" s="109" t="s">
        <v>1398</v>
      </c>
      <c r="C31" s="109" t="s">
        <v>1403</v>
      </c>
      <c r="D31" s="110">
        <v>-4237.34</v>
      </c>
      <c r="E31" s="111">
        <v>0</v>
      </c>
      <c r="F31" s="111">
        <v>0</v>
      </c>
      <c r="G31" s="111">
        <v>291.43</v>
      </c>
      <c r="H31" s="111">
        <v>0</v>
      </c>
      <c r="I31" s="112">
        <v>0</v>
      </c>
      <c r="J31" s="113">
        <v>0</v>
      </c>
      <c r="K31" s="113">
        <v>0</v>
      </c>
      <c r="L31" s="113">
        <v>0</v>
      </c>
      <c r="M31" s="113">
        <v>0</v>
      </c>
      <c r="N31" s="113">
        <v>0</v>
      </c>
      <c r="O31" s="113">
        <v>110766.16</v>
      </c>
      <c r="P31" s="115"/>
      <c r="Q31" s="115"/>
      <c r="R31" s="116">
        <v>106820.25</v>
      </c>
      <c r="S31" s="109"/>
      <c r="T31" s="117"/>
      <c r="U31" s="118">
        <f t="shared" si="6"/>
        <v>-3945.9100000000003</v>
      </c>
      <c r="V31" s="119">
        <f t="shared" si="7"/>
        <v>110766.16</v>
      </c>
      <c r="W31" s="116">
        <f t="shared" si="8"/>
        <v>106820.25</v>
      </c>
      <c r="X31" s="109"/>
      <c r="Y31" s="121"/>
      <c r="Z31" s="109"/>
    </row>
    <row r="32" spans="1:26">
      <c r="A32" s="6">
        <v>23</v>
      </c>
      <c r="B32" s="109" t="s">
        <v>1398</v>
      </c>
      <c r="C32" s="109" t="s">
        <v>1404</v>
      </c>
      <c r="D32" s="110">
        <v>97360.1</v>
      </c>
      <c r="E32" s="111">
        <v>26649.760000000002</v>
      </c>
      <c r="F32" s="111">
        <v>192426.7</v>
      </c>
      <c r="G32" s="111">
        <v>31603.49</v>
      </c>
      <c r="H32" s="111">
        <v>193926.27</v>
      </c>
      <c r="I32" s="112">
        <v>172868.14</v>
      </c>
      <c r="J32" s="113">
        <v>116785.69</v>
      </c>
      <c r="K32" s="113">
        <v>116785.69</v>
      </c>
      <c r="L32" s="113">
        <v>116785.69</v>
      </c>
      <c r="M32" s="113">
        <v>116785.69</v>
      </c>
      <c r="N32" s="113">
        <v>116785.69</v>
      </c>
      <c r="O32" s="113">
        <v>116785.69</v>
      </c>
      <c r="P32" s="115"/>
      <c r="Q32" s="115"/>
      <c r="R32" s="116">
        <v>1415548.6</v>
      </c>
      <c r="S32" s="109"/>
      <c r="T32" s="117"/>
      <c r="U32" s="118">
        <f t="shared" si="6"/>
        <v>714834.46000000008</v>
      </c>
      <c r="V32" s="119">
        <f t="shared" si="7"/>
        <v>700714.1399999999</v>
      </c>
      <c r="W32" s="116">
        <f t="shared" si="8"/>
        <v>1415548.6</v>
      </c>
      <c r="X32" s="109"/>
      <c r="Y32" s="121"/>
      <c r="Z32" s="109"/>
    </row>
    <row r="33" spans="1:26">
      <c r="A33" s="6">
        <v>24</v>
      </c>
      <c r="B33" s="109" t="s">
        <v>1398</v>
      </c>
      <c r="C33" s="109" t="s">
        <v>1405</v>
      </c>
      <c r="D33" s="110">
        <v>10533.15</v>
      </c>
      <c r="E33" s="111">
        <v>5840.72</v>
      </c>
      <c r="F33" s="111">
        <v>17174.099999999999</v>
      </c>
      <c r="G33" s="111">
        <v>17213.68</v>
      </c>
      <c r="H33" s="111">
        <v>34235.57</v>
      </c>
      <c r="I33" s="112">
        <v>51626.239999999998</v>
      </c>
      <c r="J33" s="113">
        <v>19827.310000000001</v>
      </c>
      <c r="K33" s="113">
        <v>19827.310000000001</v>
      </c>
      <c r="L33" s="113">
        <v>19827.310000000001</v>
      </c>
      <c r="M33" s="113">
        <v>19827.310000000001</v>
      </c>
      <c r="N33" s="113">
        <v>19827.310000000001</v>
      </c>
      <c r="O33" s="113">
        <v>19827.310000000001</v>
      </c>
      <c r="P33" s="115"/>
      <c r="Q33" s="115"/>
      <c r="R33" s="116">
        <v>255587.32</v>
      </c>
      <c r="S33" s="109"/>
      <c r="T33" s="117"/>
      <c r="U33" s="118">
        <f t="shared" si="6"/>
        <v>136623.46</v>
      </c>
      <c r="V33" s="119">
        <f t="shared" si="7"/>
        <v>118963.86</v>
      </c>
      <c r="W33" s="116">
        <f t="shared" si="8"/>
        <v>255587.32</v>
      </c>
      <c r="X33" s="109"/>
      <c r="Y33" s="121"/>
      <c r="Z33" s="109"/>
    </row>
    <row r="34" spans="1:26">
      <c r="A34" s="6">
        <v>25</v>
      </c>
      <c r="B34" s="109" t="s">
        <v>1398</v>
      </c>
      <c r="C34" s="109" t="s">
        <v>1406</v>
      </c>
      <c r="D34" s="110">
        <v>3622.07</v>
      </c>
      <c r="E34" s="111">
        <v>9555.98</v>
      </c>
      <c r="F34" s="111">
        <v>7372.41</v>
      </c>
      <c r="G34" s="111">
        <v>20552.5</v>
      </c>
      <c r="H34" s="111">
        <v>23622.99</v>
      </c>
      <c r="I34" s="112">
        <v>6922.1</v>
      </c>
      <c r="J34" s="113">
        <v>7589.4000000000005</v>
      </c>
      <c r="K34" s="113">
        <v>7589.4000000000005</v>
      </c>
      <c r="L34" s="113">
        <v>7589.4000000000005</v>
      </c>
      <c r="M34" s="113">
        <v>7589.4000000000005</v>
      </c>
      <c r="N34" s="113">
        <v>7589.4000000000005</v>
      </c>
      <c r="O34" s="113">
        <v>7589.4000000000005</v>
      </c>
      <c r="P34" s="115"/>
      <c r="Q34" s="115"/>
      <c r="R34" s="116">
        <v>117184.45</v>
      </c>
      <c r="S34" s="109"/>
      <c r="T34" s="117"/>
      <c r="U34" s="118">
        <f t="shared" si="6"/>
        <v>71648.05</v>
      </c>
      <c r="V34" s="119">
        <f t="shared" si="7"/>
        <v>45536.4</v>
      </c>
      <c r="W34" s="116">
        <f t="shared" si="8"/>
        <v>117184.45000000001</v>
      </c>
      <c r="X34" s="109"/>
      <c r="Y34" s="121"/>
      <c r="Z34" s="109"/>
    </row>
    <row r="35" spans="1:26">
      <c r="A35" s="6">
        <v>26</v>
      </c>
      <c r="B35" s="109" t="s">
        <v>1398</v>
      </c>
      <c r="C35" s="109" t="s">
        <v>1407</v>
      </c>
      <c r="D35" s="110">
        <v>11115.52</v>
      </c>
      <c r="E35" s="111">
        <v>2703.19</v>
      </c>
      <c r="F35" s="111">
        <v>45201.42</v>
      </c>
      <c r="G35" s="111">
        <v>17931.8</v>
      </c>
      <c r="H35" s="111">
        <v>111877.54000000001</v>
      </c>
      <c r="I35" s="112">
        <v>62225.42</v>
      </c>
      <c r="J35" s="113">
        <v>37947</v>
      </c>
      <c r="K35" s="113">
        <v>37947</v>
      </c>
      <c r="L35" s="113">
        <v>37947</v>
      </c>
      <c r="M35" s="113">
        <v>37947</v>
      </c>
      <c r="N35" s="113">
        <v>37947</v>
      </c>
      <c r="O35" s="113">
        <v>37947</v>
      </c>
      <c r="P35" s="115"/>
      <c r="Q35" s="115"/>
      <c r="R35" s="116">
        <v>478736.89</v>
      </c>
      <c r="S35" s="109"/>
      <c r="T35" s="117"/>
      <c r="U35" s="118">
        <f t="shared" si="6"/>
        <v>251054.89</v>
      </c>
      <c r="V35" s="119">
        <f t="shared" si="7"/>
        <v>227682</v>
      </c>
      <c r="W35" s="116">
        <f t="shared" si="8"/>
        <v>478736.89</v>
      </c>
      <c r="X35" s="109"/>
      <c r="Y35" s="121"/>
      <c r="Z35" s="109"/>
    </row>
    <row r="36" spans="1:26">
      <c r="A36" s="6">
        <v>27</v>
      </c>
      <c r="B36" s="109" t="s">
        <v>1398</v>
      </c>
      <c r="C36" s="109" t="s">
        <v>1408</v>
      </c>
      <c r="D36" s="110">
        <v>5782.16</v>
      </c>
      <c r="E36" s="111">
        <v>15529</v>
      </c>
      <c r="F36" s="111">
        <v>0</v>
      </c>
      <c r="G36" s="111">
        <v>0</v>
      </c>
      <c r="H36" s="111">
        <v>4292.18</v>
      </c>
      <c r="I36" s="112">
        <v>10611.68</v>
      </c>
      <c r="J36" s="113">
        <v>5270.42</v>
      </c>
      <c r="K36" s="113">
        <v>5270.42</v>
      </c>
      <c r="L36" s="113">
        <v>5270.42</v>
      </c>
      <c r="M36" s="113">
        <v>5270.42</v>
      </c>
      <c r="N36" s="113">
        <v>5270.42</v>
      </c>
      <c r="O36" s="113">
        <v>5270.42</v>
      </c>
      <c r="P36" s="115"/>
      <c r="Q36" s="115"/>
      <c r="R36" s="116">
        <v>67837.540000000008</v>
      </c>
      <c r="S36" s="109"/>
      <c r="T36" s="117"/>
      <c r="U36" s="118">
        <f t="shared" si="6"/>
        <v>36215.020000000004</v>
      </c>
      <c r="V36" s="119">
        <f t="shared" si="7"/>
        <v>31622.519999999997</v>
      </c>
      <c r="W36" s="116">
        <f t="shared" si="8"/>
        <v>67837.540000000008</v>
      </c>
      <c r="X36" s="109"/>
      <c r="Y36" s="121"/>
      <c r="Z36" s="109"/>
    </row>
    <row r="37" spans="1:26">
      <c r="A37" s="6">
        <v>28</v>
      </c>
      <c r="B37" s="109" t="s">
        <v>1398</v>
      </c>
      <c r="C37" s="109" t="s">
        <v>1409</v>
      </c>
      <c r="D37" s="110">
        <v>4129.54</v>
      </c>
      <c r="E37" s="111">
        <v>315.92</v>
      </c>
      <c r="F37" s="111">
        <v>18598.36</v>
      </c>
      <c r="G37" s="111">
        <v>2754.36</v>
      </c>
      <c r="H37" s="111">
        <v>4024.1600000000003</v>
      </c>
      <c r="I37" s="112">
        <v>13219.57</v>
      </c>
      <c r="J37" s="113">
        <v>4005.52</v>
      </c>
      <c r="K37" s="113">
        <v>4005.52</v>
      </c>
      <c r="L37" s="113">
        <v>4005.52</v>
      </c>
      <c r="M37" s="113">
        <v>4005.52</v>
      </c>
      <c r="N37" s="113">
        <v>4005.52</v>
      </c>
      <c r="O37" s="113">
        <v>4005.52</v>
      </c>
      <c r="P37" s="115"/>
      <c r="Q37" s="115"/>
      <c r="R37" s="116">
        <v>67075.03</v>
      </c>
      <c r="S37" s="109"/>
      <c r="T37" s="117"/>
      <c r="U37" s="118">
        <f t="shared" si="6"/>
        <v>43041.91</v>
      </c>
      <c r="V37" s="119">
        <f t="shared" si="7"/>
        <v>24033.119999999999</v>
      </c>
      <c r="W37" s="116">
        <f t="shared" si="8"/>
        <v>67075.03</v>
      </c>
      <c r="X37" s="109"/>
      <c r="Y37" s="121"/>
      <c r="Z37" s="109"/>
    </row>
    <row r="38" spans="1:26">
      <c r="A38" s="6">
        <v>29</v>
      </c>
      <c r="B38" s="109" t="s">
        <v>1398</v>
      </c>
      <c r="C38" s="109" t="s">
        <v>1410</v>
      </c>
      <c r="D38" s="110">
        <v>128777.05</v>
      </c>
      <c r="E38" s="111">
        <v>199095.2</v>
      </c>
      <c r="F38" s="111">
        <v>212719.1</v>
      </c>
      <c r="G38" s="111">
        <v>537905.22</v>
      </c>
      <c r="H38" s="111">
        <v>289073.14</v>
      </c>
      <c r="I38" s="112">
        <v>512652.10000000003</v>
      </c>
      <c r="J38" s="113">
        <v>88395.77</v>
      </c>
      <c r="K38" s="113">
        <v>88395.77</v>
      </c>
      <c r="L38" s="113">
        <v>88395.77</v>
      </c>
      <c r="M38" s="113">
        <v>88395.77</v>
      </c>
      <c r="N38" s="113">
        <v>88395.77</v>
      </c>
      <c r="O38" s="113">
        <v>88395.77</v>
      </c>
      <c r="P38" s="114">
        <v>46022</v>
      </c>
      <c r="Q38" s="115">
        <v>376</v>
      </c>
      <c r="R38" s="116">
        <v>2410596.4300000002</v>
      </c>
      <c r="S38" s="109"/>
      <c r="T38" s="117">
        <f>+R38</f>
        <v>2410596.4300000002</v>
      </c>
      <c r="U38" s="118">
        <f t="shared" si="6"/>
        <v>1880221.81</v>
      </c>
      <c r="V38" s="119">
        <f t="shared" si="7"/>
        <v>530374.62</v>
      </c>
      <c r="W38" s="116">
        <f t="shared" si="8"/>
        <v>2410596.4300000002</v>
      </c>
      <c r="X38" s="109"/>
      <c r="Y38" s="121" t="s">
        <v>1411</v>
      </c>
      <c r="Z38" s="109"/>
    </row>
    <row r="39" spans="1:26">
      <c r="A39" s="6">
        <v>30</v>
      </c>
      <c r="B39" s="109" t="s">
        <v>1398</v>
      </c>
      <c r="C39" s="109" t="s">
        <v>1412</v>
      </c>
      <c r="D39" s="110">
        <v>40580.67</v>
      </c>
      <c r="E39" s="111">
        <v>3314.71</v>
      </c>
      <c r="F39" s="111">
        <v>256.88</v>
      </c>
      <c r="G39" s="111">
        <v>32158</v>
      </c>
      <c r="H39" s="111">
        <v>11349.61</v>
      </c>
      <c r="I39" s="112">
        <v>8247.75</v>
      </c>
      <c r="J39" s="113">
        <v>13913.9</v>
      </c>
      <c r="K39" s="113">
        <v>13913.9</v>
      </c>
      <c r="L39" s="113">
        <v>13913.9</v>
      </c>
      <c r="M39" s="113">
        <v>13913.9</v>
      </c>
      <c r="N39" s="113">
        <v>13913.9</v>
      </c>
      <c r="O39" s="113">
        <v>13913.9</v>
      </c>
      <c r="P39" s="114">
        <v>46022</v>
      </c>
      <c r="Q39" s="115">
        <v>376</v>
      </c>
      <c r="R39" s="116">
        <v>179391.02</v>
      </c>
      <c r="S39" s="109"/>
      <c r="T39" s="117">
        <f t="shared" ref="T39:T47" si="9">+R39</f>
        <v>179391.02</v>
      </c>
      <c r="U39" s="118">
        <f t="shared" si="6"/>
        <v>95907.62</v>
      </c>
      <c r="V39" s="119">
        <f t="shared" si="7"/>
        <v>83483.399999999994</v>
      </c>
      <c r="W39" s="116">
        <f t="shared" si="8"/>
        <v>179391.02</v>
      </c>
      <c r="X39" s="117">
        <f t="shared" ref="X39:X40" si="10">+T39</f>
        <v>179391.02</v>
      </c>
      <c r="Y39" s="121" t="s">
        <v>1413</v>
      </c>
      <c r="Z39" s="109"/>
    </row>
    <row r="40" spans="1:26">
      <c r="A40" s="6">
        <v>31</v>
      </c>
      <c r="B40" s="109" t="s">
        <v>1398</v>
      </c>
      <c r="C40" s="109" t="s">
        <v>1414</v>
      </c>
      <c r="D40" s="110">
        <v>55687.64</v>
      </c>
      <c r="E40" s="111">
        <v>82878.48</v>
      </c>
      <c r="F40" s="111">
        <v>35242.370000000003</v>
      </c>
      <c r="G40" s="111">
        <v>199515.2</v>
      </c>
      <c r="H40" s="111">
        <v>124679.45</v>
      </c>
      <c r="I40" s="112">
        <v>287916.64</v>
      </c>
      <c r="J40" s="113">
        <v>103420.76000000001</v>
      </c>
      <c r="K40" s="113">
        <v>103420.76000000001</v>
      </c>
      <c r="L40" s="113">
        <v>103420.76000000001</v>
      </c>
      <c r="M40" s="113">
        <v>103420.76000000001</v>
      </c>
      <c r="N40" s="113">
        <v>103420.76000000001</v>
      </c>
      <c r="O40" s="113">
        <v>170761.5</v>
      </c>
      <c r="P40" s="114">
        <v>46022</v>
      </c>
      <c r="Q40" s="115">
        <v>376</v>
      </c>
      <c r="R40" s="116">
        <v>1473785.08</v>
      </c>
      <c r="S40" s="109"/>
      <c r="T40" s="117">
        <f t="shared" si="9"/>
        <v>1473785.08</v>
      </c>
      <c r="U40" s="118">
        <f t="shared" si="6"/>
        <v>785919.78</v>
      </c>
      <c r="V40" s="119">
        <f t="shared" si="7"/>
        <v>687865.3</v>
      </c>
      <c r="W40" s="116">
        <f t="shared" si="8"/>
        <v>1473785.08</v>
      </c>
      <c r="X40" s="117">
        <f t="shared" si="10"/>
        <v>1473785.08</v>
      </c>
      <c r="Y40" s="121" t="s">
        <v>1413</v>
      </c>
      <c r="Z40" s="109"/>
    </row>
    <row r="41" spans="1:26">
      <c r="A41" s="6">
        <v>32</v>
      </c>
      <c r="B41" s="109" t="s">
        <v>1398</v>
      </c>
      <c r="C41" s="109" t="s">
        <v>1415</v>
      </c>
      <c r="D41" s="110">
        <v>0</v>
      </c>
      <c r="E41" s="111">
        <v>0</v>
      </c>
      <c r="F41" s="111">
        <v>0</v>
      </c>
      <c r="G41" s="111">
        <v>0</v>
      </c>
      <c r="H41" s="111">
        <v>0</v>
      </c>
      <c r="I41" s="112">
        <v>0</v>
      </c>
      <c r="J41" s="113">
        <v>4148.87</v>
      </c>
      <c r="K41" s="113">
        <v>4148.87</v>
      </c>
      <c r="L41" s="113">
        <v>4148.87</v>
      </c>
      <c r="M41" s="113">
        <v>4148.87</v>
      </c>
      <c r="N41" s="113">
        <v>4148.87</v>
      </c>
      <c r="O41" s="113">
        <v>11257.61</v>
      </c>
      <c r="P41" s="114">
        <v>44561</v>
      </c>
      <c r="Q41" s="115"/>
      <c r="R41" s="116">
        <v>32001.96</v>
      </c>
      <c r="S41" s="109"/>
      <c r="T41" s="117">
        <f t="shared" si="9"/>
        <v>32001.96</v>
      </c>
      <c r="U41" s="118">
        <f t="shared" si="6"/>
        <v>0</v>
      </c>
      <c r="V41" s="119">
        <f t="shared" si="7"/>
        <v>32001.96</v>
      </c>
      <c r="W41" s="116">
        <f t="shared" si="8"/>
        <v>32001.96</v>
      </c>
      <c r="X41" s="109"/>
      <c r="Y41" s="121" t="s">
        <v>1411</v>
      </c>
      <c r="Z41" s="109"/>
    </row>
    <row r="42" spans="1:26">
      <c r="A42" s="6">
        <v>33</v>
      </c>
      <c r="B42" s="109" t="s">
        <v>1398</v>
      </c>
      <c r="C42" s="109" t="s">
        <v>1416</v>
      </c>
      <c r="D42" s="110">
        <v>3196.17</v>
      </c>
      <c r="E42" s="111">
        <v>14268.12</v>
      </c>
      <c r="F42" s="111">
        <v>35800.400000000001</v>
      </c>
      <c r="G42" s="111">
        <v>19489.97</v>
      </c>
      <c r="H42" s="111">
        <v>34540.31</v>
      </c>
      <c r="I42" s="112">
        <v>597.29</v>
      </c>
      <c r="J42" s="113">
        <v>28547.53</v>
      </c>
      <c r="K42" s="113">
        <v>28547.53</v>
      </c>
      <c r="L42" s="113">
        <v>28547.53</v>
      </c>
      <c r="M42" s="113">
        <v>28547.53</v>
      </c>
      <c r="N42" s="113">
        <v>28547.53</v>
      </c>
      <c r="O42" s="113">
        <v>63346.85</v>
      </c>
      <c r="P42" s="114">
        <v>44561</v>
      </c>
      <c r="Q42" s="115">
        <v>378</v>
      </c>
      <c r="R42" s="116">
        <v>313976.76</v>
      </c>
      <c r="S42" s="109"/>
      <c r="T42" s="117">
        <f t="shared" si="9"/>
        <v>313976.76</v>
      </c>
      <c r="U42" s="118">
        <f t="shared" si="6"/>
        <v>107892.26</v>
      </c>
      <c r="V42" s="119">
        <f t="shared" si="7"/>
        <v>206084.5</v>
      </c>
      <c r="W42" s="116">
        <f t="shared" si="8"/>
        <v>313976.76</v>
      </c>
      <c r="X42" s="117">
        <f t="shared" ref="X42" si="11">+T42</f>
        <v>313976.76</v>
      </c>
      <c r="Y42" s="121">
        <v>1</v>
      </c>
      <c r="Z42" s="109"/>
    </row>
    <row r="43" spans="1:26">
      <c r="A43" s="6">
        <v>34</v>
      </c>
      <c r="B43" s="109" t="s">
        <v>1398</v>
      </c>
      <c r="C43" s="109" t="s">
        <v>1417</v>
      </c>
      <c r="D43" s="110">
        <v>425471.21</v>
      </c>
      <c r="E43" s="111">
        <v>427992.8</v>
      </c>
      <c r="F43" s="111">
        <v>801069.6</v>
      </c>
      <c r="G43" s="111">
        <v>583642.74</v>
      </c>
      <c r="H43" s="111">
        <v>976127.56</v>
      </c>
      <c r="I43" s="112">
        <v>830737.68</v>
      </c>
      <c r="J43" s="113">
        <v>406853.45</v>
      </c>
      <c r="K43" s="113">
        <v>406853.45</v>
      </c>
      <c r="L43" s="113">
        <v>406853.45</v>
      </c>
      <c r="M43" s="113">
        <v>406853.45</v>
      </c>
      <c r="N43" s="113">
        <v>406853.45</v>
      </c>
      <c r="O43" s="113">
        <v>406853.45</v>
      </c>
      <c r="P43" s="114">
        <v>46022</v>
      </c>
      <c r="Q43" s="115">
        <v>380</v>
      </c>
      <c r="R43" s="116">
        <v>6486162.29</v>
      </c>
      <c r="S43" s="109"/>
      <c r="T43" s="117">
        <f t="shared" si="9"/>
        <v>6486162.29</v>
      </c>
      <c r="U43" s="118">
        <f t="shared" si="6"/>
        <v>4045041.59</v>
      </c>
      <c r="V43" s="119">
        <f t="shared" si="7"/>
        <v>2441120.7000000002</v>
      </c>
      <c r="W43" s="116">
        <f t="shared" si="8"/>
        <v>6486162.29</v>
      </c>
      <c r="X43" s="109"/>
      <c r="Y43" s="121" t="s">
        <v>1411</v>
      </c>
      <c r="Z43" s="109"/>
    </row>
    <row r="44" spans="1:26">
      <c r="A44" s="6">
        <v>35</v>
      </c>
      <c r="B44" s="109" t="s">
        <v>1398</v>
      </c>
      <c r="C44" s="109" t="s">
        <v>1418</v>
      </c>
      <c r="D44" s="110">
        <v>16055.460000000001</v>
      </c>
      <c r="E44" s="111">
        <v>10871.14</v>
      </c>
      <c r="F44" s="111">
        <v>12512.68</v>
      </c>
      <c r="G44" s="111">
        <v>11191.84</v>
      </c>
      <c r="H44" s="111">
        <v>12369.720000000001</v>
      </c>
      <c r="I44" s="112">
        <v>9354.7199999999993</v>
      </c>
      <c r="J44" s="113">
        <v>10540.83</v>
      </c>
      <c r="K44" s="113">
        <v>10540.83</v>
      </c>
      <c r="L44" s="113">
        <v>10540.83</v>
      </c>
      <c r="M44" s="113">
        <v>10540.83</v>
      </c>
      <c r="N44" s="113">
        <v>10540.83</v>
      </c>
      <c r="O44" s="113">
        <v>10540.83</v>
      </c>
      <c r="P44" s="114">
        <v>46022</v>
      </c>
      <c r="Q44" s="115">
        <v>385</v>
      </c>
      <c r="R44" s="116">
        <v>135600.54</v>
      </c>
      <c r="S44" s="109"/>
      <c r="T44" s="117">
        <f t="shared" si="9"/>
        <v>135600.54</v>
      </c>
      <c r="U44" s="118">
        <f t="shared" si="6"/>
        <v>72355.56</v>
      </c>
      <c r="V44" s="119">
        <f t="shared" si="7"/>
        <v>63244.98</v>
      </c>
      <c r="W44" s="116">
        <f t="shared" si="8"/>
        <v>135600.54</v>
      </c>
      <c r="X44" s="109"/>
      <c r="Y44" s="121" t="s">
        <v>1411</v>
      </c>
      <c r="Z44" s="109"/>
    </row>
    <row r="45" spans="1:26">
      <c r="A45" s="6">
        <v>36</v>
      </c>
      <c r="B45" s="109" t="s">
        <v>1398</v>
      </c>
      <c r="C45" s="109" t="s">
        <v>1419</v>
      </c>
      <c r="D45" s="110">
        <v>53877.35</v>
      </c>
      <c r="E45" s="111">
        <v>44300.14</v>
      </c>
      <c r="F45" s="111">
        <v>118263.37</v>
      </c>
      <c r="G45" s="111">
        <v>54435.64</v>
      </c>
      <c r="H45" s="111">
        <v>108146.2</v>
      </c>
      <c r="I45" s="112">
        <v>56643.76</v>
      </c>
      <c r="J45" s="113">
        <v>72099.3</v>
      </c>
      <c r="K45" s="113">
        <v>72099.3</v>
      </c>
      <c r="L45" s="113">
        <v>72099.3</v>
      </c>
      <c r="M45" s="113">
        <v>72099.3</v>
      </c>
      <c r="N45" s="113">
        <v>72099.3</v>
      </c>
      <c r="O45" s="113">
        <v>72099.3</v>
      </c>
      <c r="P45" s="114">
        <v>46022</v>
      </c>
      <c r="Q45" s="115">
        <v>385</v>
      </c>
      <c r="R45" s="116">
        <v>868262.26</v>
      </c>
      <c r="S45" s="109"/>
      <c r="T45" s="117">
        <f t="shared" si="9"/>
        <v>868262.26</v>
      </c>
      <c r="U45" s="118">
        <f t="shared" si="6"/>
        <v>435666.46</v>
      </c>
      <c r="V45" s="119">
        <f t="shared" si="7"/>
        <v>432595.8</v>
      </c>
      <c r="W45" s="116">
        <f t="shared" si="8"/>
        <v>868262.26</v>
      </c>
      <c r="X45" s="117">
        <f t="shared" ref="X45" si="12">+T45</f>
        <v>868262.26</v>
      </c>
      <c r="Y45" s="121">
        <v>1</v>
      </c>
      <c r="Z45" s="109"/>
    </row>
    <row r="46" spans="1:26">
      <c r="A46" s="6">
        <v>37</v>
      </c>
      <c r="B46" s="109" t="s">
        <v>1398</v>
      </c>
      <c r="C46" s="109" t="s">
        <v>1420</v>
      </c>
      <c r="D46" s="110">
        <v>7209.58</v>
      </c>
      <c r="E46" s="111">
        <v>11044.86</v>
      </c>
      <c r="F46" s="111">
        <v>12298.220000000001</v>
      </c>
      <c r="G46" s="111">
        <v>5253.38</v>
      </c>
      <c r="H46" s="111">
        <v>4908.74</v>
      </c>
      <c r="I46" s="112">
        <v>24161.05</v>
      </c>
      <c r="J46" s="113">
        <v>14967.98</v>
      </c>
      <c r="K46" s="113">
        <v>14967.98</v>
      </c>
      <c r="L46" s="113">
        <v>14967.98</v>
      </c>
      <c r="M46" s="113">
        <v>14967.98</v>
      </c>
      <c r="N46" s="113">
        <v>14967.98</v>
      </c>
      <c r="O46" s="113">
        <v>14967.98</v>
      </c>
      <c r="P46" s="114">
        <v>46022</v>
      </c>
      <c r="Q46" s="115">
        <v>385</v>
      </c>
      <c r="R46" s="116">
        <v>154683.71</v>
      </c>
      <c r="S46" s="109"/>
      <c r="T46" s="117">
        <f t="shared" si="9"/>
        <v>154683.71</v>
      </c>
      <c r="U46" s="118">
        <f t="shared" si="6"/>
        <v>64875.83</v>
      </c>
      <c r="V46" s="119">
        <f t="shared" si="7"/>
        <v>89807.87999999999</v>
      </c>
      <c r="W46" s="116">
        <f t="shared" si="8"/>
        <v>154683.71</v>
      </c>
      <c r="X46" s="109"/>
      <c r="Y46" s="121" t="s">
        <v>1411</v>
      </c>
      <c r="Z46" s="109"/>
    </row>
    <row r="47" spans="1:26">
      <c r="A47" s="6">
        <v>38</v>
      </c>
      <c r="B47" s="109" t="s">
        <v>1398</v>
      </c>
      <c r="C47" s="109" t="s">
        <v>1421</v>
      </c>
      <c r="D47" s="110">
        <v>8555.82</v>
      </c>
      <c r="E47" s="111">
        <v>9462.36</v>
      </c>
      <c r="F47" s="111">
        <v>10953.56</v>
      </c>
      <c r="G47" s="111">
        <v>19761.36</v>
      </c>
      <c r="H47" s="111">
        <v>28329.13</v>
      </c>
      <c r="I47" s="112">
        <v>38182.980000000003</v>
      </c>
      <c r="J47" s="113">
        <v>10766.210000000001</v>
      </c>
      <c r="K47" s="113">
        <v>10766.210000000001</v>
      </c>
      <c r="L47" s="113">
        <v>10766.210000000001</v>
      </c>
      <c r="M47" s="113">
        <v>10766.210000000001</v>
      </c>
      <c r="N47" s="113">
        <v>10766.210000000001</v>
      </c>
      <c r="O47" s="113">
        <v>10766.210000000001</v>
      </c>
      <c r="P47" s="114">
        <v>46022</v>
      </c>
      <c r="Q47" s="115">
        <v>385</v>
      </c>
      <c r="R47" s="116">
        <v>179842.47</v>
      </c>
      <c r="S47" s="109"/>
      <c r="T47" s="117">
        <f t="shared" si="9"/>
        <v>179842.47</v>
      </c>
      <c r="U47" s="118">
        <f t="shared" si="6"/>
        <v>115245.20999999999</v>
      </c>
      <c r="V47" s="119">
        <f t="shared" si="7"/>
        <v>64597.26</v>
      </c>
      <c r="W47" s="116">
        <f t="shared" si="8"/>
        <v>179842.47</v>
      </c>
      <c r="X47" s="117">
        <f t="shared" ref="X47" si="13">+T47</f>
        <v>179842.47</v>
      </c>
      <c r="Y47" s="121" t="s">
        <v>1413</v>
      </c>
      <c r="Z47" s="109"/>
    </row>
    <row r="48" spans="1:26">
      <c r="A48" s="6">
        <v>39</v>
      </c>
      <c r="B48" s="109" t="s">
        <v>1398</v>
      </c>
      <c r="C48" s="109" t="s">
        <v>1422</v>
      </c>
      <c r="D48" s="110">
        <v>33464.85</v>
      </c>
      <c r="E48" s="111">
        <v>831159.6</v>
      </c>
      <c r="F48" s="111">
        <v>199409.07</v>
      </c>
      <c r="G48" s="111">
        <v>48252.06</v>
      </c>
      <c r="H48" s="111">
        <v>56381.25</v>
      </c>
      <c r="I48" s="112">
        <v>408318.52</v>
      </c>
      <c r="J48" s="113">
        <v>390010.83</v>
      </c>
      <c r="K48" s="113">
        <v>390010.83</v>
      </c>
      <c r="L48" s="113">
        <v>390010.83</v>
      </c>
      <c r="M48" s="113">
        <v>390010.83</v>
      </c>
      <c r="N48" s="113">
        <v>390010.83</v>
      </c>
      <c r="O48" s="113">
        <v>390010.83</v>
      </c>
      <c r="P48" s="114">
        <v>46022</v>
      </c>
      <c r="Q48" s="115"/>
      <c r="R48" s="116">
        <v>3917050.33</v>
      </c>
      <c r="S48" s="800">
        <f>+'State Allocation Formulas'!$L$25</f>
        <v>0.77239999999999998</v>
      </c>
      <c r="T48" s="117">
        <f t="shared" ref="T48:T49" si="14">+R48*S48</f>
        <v>3025529.6748919999</v>
      </c>
      <c r="U48" s="118">
        <f t="shared" si="6"/>
        <v>1576985.35</v>
      </c>
      <c r="V48" s="119">
        <f t="shared" si="7"/>
        <v>2340064.98</v>
      </c>
      <c r="W48" s="116">
        <f t="shared" si="8"/>
        <v>3917050.33</v>
      </c>
      <c r="X48" s="109"/>
      <c r="Y48" s="121" t="s">
        <v>1411</v>
      </c>
      <c r="Z48" s="109"/>
    </row>
    <row r="49" spans="1:26">
      <c r="A49" s="6">
        <v>40</v>
      </c>
      <c r="B49" s="109" t="s">
        <v>1398</v>
      </c>
      <c r="C49" s="109" t="s">
        <v>1423</v>
      </c>
      <c r="D49" s="110">
        <v>16226.91</v>
      </c>
      <c r="E49" s="111">
        <v>78726.98</v>
      </c>
      <c r="F49" s="111">
        <v>47950.559999999998</v>
      </c>
      <c r="G49" s="111">
        <v>32704.15</v>
      </c>
      <c r="H49" s="111">
        <v>38599.06</v>
      </c>
      <c r="I49" s="112">
        <v>43650.64</v>
      </c>
      <c r="J49" s="113">
        <v>30146.78</v>
      </c>
      <c r="K49" s="113">
        <v>30146.78</v>
      </c>
      <c r="L49" s="113">
        <v>30146.78</v>
      </c>
      <c r="M49" s="113">
        <v>30146.78</v>
      </c>
      <c r="N49" s="113">
        <v>30146.78</v>
      </c>
      <c r="O49" s="113">
        <v>30146.78</v>
      </c>
      <c r="P49" s="114">
        <v>46022</v>
      </c>
      <c r="Q49" s="115"/>
      <c r="R49" s="116">
        <v>438738.98</v>
      </c>
      <c r="S49" s="800">
        <f>+'State Allocation Formulas'!$L$25</f>
        <v>0.77239999999999998</v>
      </c>
      <c r="T49" s="117">
        <f t="shared" si="14"/>
        <v>338881.98815199995</v>
      </c>
      <c r="U49" s="118">
        <f t="shared" si="6"/>
        <v>257858.3</v>
      </c>
      <c r="V49" s="119">
        <f t="shared" si="7"/>
        <v>180880.68</v>
      </c>
      <c r="W49" s="116">
        <f t="shared" si="8"/>
        <v>438738.98</v>
      </c>
      <c r="X49" s="109"/>
      <c r="Y49" s="121" t="s">
        <v>1411</v>
      </c>
      <c r="Z49" s="109"/>
    </row>
    <row r="50" spans="1:26">
      <c r="A50" s="6">
        <v>41</v>
      </c>
      <c r="B50" s="109" t="s">
        <v>1398</v>
      </c>
      <c r="C50" s="109" t="s">
        <v>1424</v>
      </c>
      <c r="D50" s="110">
        <v>55182.26</v>
      </c>
      <c r="E50" s="111">
        <v>51675.71</v>
      </c>
      <c r="F50" s="111">
        <v>117859.57</v>
      </c>
      <c r="G50" s="111">
        <v>134681.64000000001</v>
      </c>
      <c r="H50" s="111">
        <v>114745.13</v>
      </c>
      <c r="I50" s="112">
        <v>151471.5</v>
      </c>
      <c r="J50" s="113">
        <v>25375.16</v>
      </c>
      <c r="K50" s="113">
        <v>25375.16</v>
      </c>
      <c r="L50" s="113">
        <v>25375.16</v>
      </c>
      <c r="M50" s="113">
        <v>25375.16</v>
      </c>
      <c r="N50" s="113">
        <v>25375.16</v>
      </c>
      <c r="O50" s="113">
        <v>25375.16</v>
      </c>
      <c r="P50" s="114">
        <v>46022</v>
      </c>
      <c r="Q50" s="115">
        <v>380</v>
      </c>
      <c r="R50" s="116">
        <v>777866.77</v>
      </c>
      <c r="S50" s="109"/>
      <c r="T50" s="117">
        <f t="shared" ref="T50:T53" si="15">+R50</f>
        <v>777866.77</v>
      </c>
      <c r="U50" s="118">
        <f t="shared" si="6"/>
        <v>625615.81000000006</v>
      </c>
      <c r="V50" s="119">
        <f t="shared" si="7"/>
        <v>152250.96</v>
      </c>
      <c r="W50" s="116">
        <f t="shared" si="8"/>
        <v>777866.77</v>
      </c>
      <c r="X50" s="117">
        <f t="shared" ref="X50" si="16">+T50</f>
        <v>777866.77</v>
      </c>
      <c r="Y50" s="121">
        <v>1</v>
      </c>
      <c r="Z50" s="109"/>
    </row>
    <row r="51" spans="1:26">
      <c r="A51" s="6">
        <v>42</v>
      </c>
      <c r="B51" s="109" t="s">
        <v>1398</v>
      </c>
      <c r="C51" s="109" t="s">
        <v>1425</v>
      </c>
      <c r="D51" s="110">
        <v>58.800000000000004</v>
      </c>
      <c r="E51" s="111">
        <v>7802.16</v>
      </c>
      <c r="F51" s="111">
        <v>20236.580000000002</v>
      </c>
      <c r="G51" s="111">
        <v>-49</v>
      </c>
      <c r="H51" s="111">
        <v>1377</v>
      </c>
      <c r="I51" s="112">
        <v>0</v>
      </c>
      <c r="J51" s="113">
        <v>0</v>
      </c>
      <c r="K51" s="113">
        <v>0</v>
      </c>
      <c r="L51" s="113">
        <v>0</v>
      </c>
      <c r="M51" s="113">
        <v>0</v>
      </c>
      <c r="N51" s="113">
        <v>0</v>
      </c>
      <c r="O51" s="113">
        <v>0</v>
      </c>
      <c r="P51" s="114">
        <v>42643</v>
      </c>
      <c r="Q51" s="115">
        <v>376</v>
      </c>
      <c r="R51" s="116">
        <v>29425.54</v>
      </c>
      <c r="S51" s="109"/>
      <c r="T51" s="117">
        <f t="shared" si="15"/>
        <v>29425.54</v>
      </c>
      <c r="U51" s="118">
        <f t="shared" si="6"/>
        <v>29425.54</v>
      </c>
      <c r="V51" s="119">
        <f t="shared" si="7"/>
        <v>0</v>
      </c>
      <c r="W51" s="116">
        <f t="shared" si="8"/>
        <v>29425.54</v>
      </c>
      <c r="X51" s="109"/>
      <c r="Y51" s="121" t="s">
        <v>1426</v>
      </c>
      <c r="Z51" s="109"/>
    </row>
    <row r="52" spans="1:26">
      <c r="A52" s="6">
        <v>43</v>
      </c>
      <c r="B52" s="109" t="s">
        <v>1398</v>
      </c>
      <c r="C52" s="109" t="s">
        <v>1427</v>
      </c>
      <c r="D52" s="110">
        <v>-241.59</v>
      </c>
      <c r="E52" s="111">
        <v>-12212.15</v>
      </c>
      <c r="F52" s="111">
        <v>13201.27</v>
      </c>
      <c r="G52" s="111">
        <v>3359.34</v>
      </c>
      <c r="H52" s="111">
        <v>8699.16</v>
      </c>
      <c r="I52" s="112">
        <v>9996.68</v>
      </c>
      <c r="J52" s="113">
        <v>0</v>
      </c>
      <c r="K52" s="113">
        <v>0</v>
      </c>
      <c r="L52" s="113">
        <v>0</v>
      </c>
      <c r="M52" s="113">
        <v>0</v>
      </c>
      <c r="N52" s="113">
        <v>75000</v>
      </c>
      <c r="O52" s="113">
        <v>0</v>
      </c>
      <c r="P52" s="114">
        <v>43100</v>
      </c>
      <c r="Q52" s="115">
        <v>378</v>
      </c>
      <c r="R52" s="116">
        <v>97802.71</v>
      </c>
      <c r="S52" s="109"/>
      <c r="T52" s="117">
        <f t="shared" si="15"/>
        <v>97802.71</v>
      </c>
      <c r="U52" s="118">
        <f t="shared" si="6"/>
        <v>22802.71</v>
      </c>
      <c r="V52" s="119">
        <f t="shared" si="7"/>
        <v>75000</v>
      </c>
      <c r="W52" s="116">
        <f t="shared" si="8"/>
        <v>97802.709999999992</v>
      </c>
      <c r="X52" s="117">
        <f t="shared" ref="X52" si="17">+T52</f>
        <v>97802.71</v>
      </c>
      <c r="Y52" s="121">
        <v>19</v>
      </c>
      <c r="Z52" s="109"/>
    </row>
    <row r="53" spans="1:26">
      <c r="A53" s="6">
        <v>44</v>
      </c>
      <c r="B53" s="109" t="s">
        <v>1398</v>
      </c>
      <c r="C53" s="109" t="s">
        <v>1428</v>
      </c>
      <c r="D53" s="110">
        <v>0</v>
      </c>
      <c r="E53" s="111">
        <v>3434.7200000000003</v>
      </c>
      <c r="F53" s="111">
        <v>3455.5</v>
      </c>
      <c r="G53" s="111">
        <v>4089.88</v>
      </c>
      <c r="H53" s="111">
        <v>3192.06</v>
      </c>
      <c r="I53" s="112">
        <v>0</v>
      </c>
      <c r="J53" s="113">
        <v>0</v>
      </c>
      <c r="K53" s="113">
        <v>0</v>
      </c>
      <c r="L53" s="113">
        <v>0</v>
      </c>
      <c r="M53" s="113">
        <v>0</v>
      </c>
      <c r="N53" s="113">
        <v>0</v>
      </c>
      <c r="O53" s="113">
        <v>0</v>
      </c>
      <c r="P53" s="114">
        <v>42810</v>
      </c>
      <c r="Q53" s="115">
        <v>376</v>
      </c>
      <c r="R53" s="116">
        <v>14172.16</v>
      </c>
      <c r="S53" s="109"/>
      <c r="T53" s="117">
        <f t="shared" si="15"/>
        <v>14172.16</v>
      </c>
      <c r="U53" s="118">
        <f t="shared" si="6"/>
        <v>14172.16</v>
      </c>
      <c r="V53" s="119">
        <f t="shared" si="7"/>
        <v>0</v>
      </c>
      <c r="W53" s="116">
        <f t="shared" si="8"/>
        <v>14172.16</v>
      </c>
      <c r="X53" s="120"/>
      <c r="Y53" s="121" t="s">
        <v>1429</v>
      </c>
      <c r="Z53" s="109"/>
    </row>
    <row r="54" spans="1:26">
      <c r="A54" s="6">
        <v>45</v>
      </c>
      <c r="B54" s="109" t="s">
        <v>1398</v>
      </c>
      <c r="C54" s="109" t="s">
        <v>1430</v>
      </c>
      <c r="D54" s="110">
        <v>95867.94</v>
      </c>
      <c r="E54" s="111">
        <v>3845.17</v>
      </c>
      <c r="F54" s="111">
        <v>45604.25</v>
      </c>
      <c r="G54" s="111">
        <v>6382.88</v>
      </c>
      <c r="H54" s="111">
        <v>34460.33</v>
      </c>
      <c r="I54" s="112">
        <v>-3542.42</v>
      </c>
      <c r="J54" s="113">
        <v>0</v>
      </c>
      <c r="K54" s="113">
        <v>0</v>
      </c>
      <c r="L54" s="113">
        <v>0</v>
      </c>
      <c r="M54" s="113">
        <v>0</v>
      </c>
      <c r="N54" s="113">
        <v>0</v>
      </c>
      <c r="O54" s="113">
        <v>0</v>
      </c>
      <c r="P54" s="115"/>
      <c r="Q54" s="115"/>
      <c r="R54" s="116">
        <v>182618.15</v>
      </c>
      <c r="S54" s="109"/>
      <c r="T54" s="117"/>
      <c r="U54" s="118">
        <f t="shared" si="6"/>
        <v>182618.15</v>
      </c>
      <c r="V54" s="119">
        <f t="shared" si="7"/>
        <v>0</v>
      </c>
      <c r="W54" s="116">
        <f t="shared" si="8"/>
        <v>182618.15</v>
      </c>
      <c r="X54" s="109"/>
      <c r="Y54" s="121"/>
      <c r="Z54" s="109"/>
    </row>
    <row r="55" spans="1:26">
      <c r="A55" s="6">
        <v>46</v>
      </c>
      <c r="B55" s="109" t="s">
        <v>1398</v>
      </c>
      <c r="C55" s="109" t="s">
        <v>1431</v>
      </c>
      <c r="D55" s="110">
        <v>2409.87</v>
      </c>
      <c r="E55" s="111">
        <v>28588.36</v>
      </c>
      <c r="F55" s="111">
        <v>3748.52</v>
      </c>
      <c r="G55" s="111">
        <v>1542.54</v>
      </c>
      <c r="H55" s="111">
        <v>2553.92</v>
      </c>
      <c r="I55" s="112">
        <v>27719.61</v>
      </c>
      <c r="J55" s="113">
        <v>253141.74000000002</v>
      </c>
      <c r="K55" s="113">
        <v>381027.81</v>
      </c>
      <c r="L55" s="113">
        <v>655082.67000000004</v>
      </c>
      <c r="M55" s="113">
        <v>861079.46</v>
      </c>
      <c r="N55" s="113">
        <v>644470.81000000006</v>
      </c>
      <c r="O55" s="113">
        <v>331800.07</v>
      </c>
      <c r="P55" s="114">
        <v>44531</v>
      </c>
      <c r="Q55" s="115"/>
      <c r="R55" s="116">
        <v>3193165.38</v>
      </c>
      <c r="S55" s="109"/>
      <c r="T55" s="117">
        <f t="shared" ref="T55:T56" si="18">+R55</f>
        <v>3193165.38</v>
      </c>
      <c r="U55" s="118">
        <f t="shared" si="6"/>
        <v>66562.820000000007</v>
      </c>
      <c r="V55" s="119">
        <f t="shared" si="7"/>
        <v>3126602.56</v>
      </c>
      <c r="W55" s="116">
        <f t="shared" si="8"/>
        <v>3193165.38</v>
      </c>
      <c r="X55" s="109"/>
      <c r="Y55" s="121" t="s">
        <v>1426</v>
      </c>
      <c r="Z55" s="109"/>
    </row>
    <row r="56" spans="1:26">
      <c r="A56" s="6">
        <v>47</v>
      </c>
      <c r="B56" s="109" t="s">
        <v>1398</v>
      </c>
      <c r="C56" s="109" t="s">
        <v>1432</v>
      </c>
      <c r="D56" s="110">
        <v>13508.300000000001</v>
      </c>
      <c r="E56" s="111">
        <v>30443.24</v>
      </c>
      <c r="F56" s="111">
        <v>62108.880000000005</v>
      </c>
      <c r="G56" s="111">
        <v>21952.49</v>
      </c>
      <c r="H56" s="111">
        <v>111589.23</v>
      </c>
      <c r="I56" s="112">
        <v>27022.850000000002</v>
      </c>
      <c r="J56" s="113">
        <v>465089.71</v>
      </c>
      <c r="K56" s="113">
        <v>467654.68</v>
      </c>
      <c r="L56" s="113">
        <v>210929.30000000002</v>
      </c>
      <c r="M56" s="113">
        <v>212092.57</v>
      </c>
      <c r="N56" s="113">
        <v>205546.25</v>
      </c>
      <c r="O56" s="113">
        <v>205546.25</v>
      </c>
      <c r="P56" s="114">
        <v>43039</v>
      </c>
      <c r="Q56" s="115"/>
      <c r="R56" s="116">
        <v>2033483.75</v>
      </c>
      <c r="S56" s="109"/>
      <c r="T56" s="117">
        <f t="shared" si="18"/>
        <v>2033483.75</v>
      </c>
      <c r="U56" s="118">
        <f t="shared" si="6"/>
        <v>266624.99</v>
      </c>
      <c r="V56" s="119">
        <f t="shared" si="7"/>
        <v>1766858.76</v>
      </c>
      <c r="W56" s="116">
        <f t="shared" si="8"/>
        <v>2033483.75</v>
      </c>
      <c r="X56" s="109"/>
      <c r="Y56" s="121" t="s">
        <v>1426</v>
      </c>
      <c r="Z56" s="109"/>
    </row>
    <row r="57" spans="1:26">
      <c r="A57" s="6">
        <v>48</v>
      </c>
      <c r="B57" s="109" t="s">
        <v>1398</v>
      </c>
      <c r="C57" s="109" t="s">
        <v>1433</v>
      </c>
      <c r="D57" s="110">
        <v>47821.770000000004</v>
      </c>
      <c r="E57" s="111">
        <v>5899.81</v>
      </c>
      <c r="F57" s="111">
        <v>48333.93</v>
      </c>
      <c r="G57" s="111">
        <v>184273.71</v>
      </c>
      <c r="H57" s="111">
        <v>420724.88</v>
      </c>
      <c r="I57" s="112">
        <v>122117.23</v>
      </c>
      <c r="J57" s="113">
        <v>417942.54000000004</v>
      </c>
      <c r="K57" s="113">
        <v>420247.49</v>
      </c>
      <c r="L57" s="113">
        <v>422565.16000000003</v>
      </c>
      <c r="M57" s="113">
        <v>424895.60000000003</v>
      </c>
      <c r="N57" s="113">
        <v>389291.9</v>
      </c>
      <c r="O57" s="113">
        <v>126490</v>
      </c>
      <c r="P57" s="115"/>
      <c r="Q57" s="115"/>
      <c r="R57" s="116">
        <v>3030604.02</v>
      </c>
      <c r="S57" s="109"/>
      <c r="T57" s="117"/>
      <c r="U57" s="118">
        <f t="shared" si="6"/>
        <v>829171.33</v>
      </c>
      <c r="V57" s="119">
        <f t="shared" si="7"/>
        <v>2201432.69</v>
      </c>
      <c r="W57" s="116">
        <f t="shared" si="8"/>
        <v>3030604.02</v>
      </c>
      <c r="X57" s="109"/>
      <c r="Y57" s="121"/>
      <c r="Z57" s="109"/>
    </row>
    <row r="58" spans="1:26">
      <c r="A58" s="6">
        <v>49</v>
      </c>
      <c r="B58" s="109" t="s">
        <v>1398</v>
      </c>
      <c r="C58" s="109" t="s">
        <v>1434</v>
      </c>
      <c r="D58" s="110">
        <v>161.38</v>
      </c>
      <c r="E58" s="111">
        <v>162.36000000000001</v>
      </c>
      <c r="F58" s="111">
        <v>163.34</v>
      </c>
      <c r="G58" s="111">
        <v>149.82</v>
      </c>
      <c r="H58" s="111">
        <v>150.64000000000001</v>
      </c>
      <c r="I58" s="112">
        <v>151.47999999999999</v>
      </c>
      <c r="J58" s="113">
        <v>152.31</v>
      </c>
      <c r="K58" s="113">
        <v>153.15</v>
      </c>
      <c r="L58" s="113">
        <v>153.99</v>
      </c>
      <c r="M58" s="113">
        <v>31777.350000000002</v>
      </c>
      <c r="N58" s="113">
        <v>31952.59</v>
      </c>
      <c r="O58" s="113">
        <v>506.32</v>
      </c>
      <c r="P58" s="115"/>
      <c r="Q58" s="115"/>
      <c r="R58" s="116">
        <v>65634.73</v>
      </c>
      <c r="S58" s="109"/>
      <c r="T58" s="117"/>
      <c r="U58" s="118">
        <f t="shared" si="6"/>
        <v>939.0200000000001</v>
      </c>
      <c r="V58" s="119">
        <f t="shared" si="7"/>
        <v>64695.71</v>
      </c>
      <c r="W58" s="116">
        <f t="shared" si="8"/>
        <v>65634.73</v>
      </c>
      <c r="X58" s="109"/>
      <c r="Y58" s="121"/>
      <c r="Z58" s="109"/>
    </row>
    <row r="59" spans="1:26">
      <c r="A59" s="6">
        <v>50</v>
      </c>
      <c r="B59" s="109" t="s">
        <v>1398</v>
      </c>
      <c r="C59" s="109" t="s">
        <v>1435</v>
      </c>
      <c r="D59" s="110">
        <v>0</v>
      </c>
      <c r="E59" s="111">
        <v>718.92</v>
      </c>
      <c r="F59" s="111">
        <v>808.77</v>
      </c>
      <c r="G59" s="111">
        <v>0</v>
      </c>
      <c r="H59" s="111">
        <v>447.34000000000003</v>
      </c>
      <c r="I59" s="112">
        <v>0</v>
      </c>
      <c r="J59" s="113">
        <v>0</v>
      </c>
      <c r="K59" s="113">
        <v>0</v>
      </c>
      <c r="L59" s="113">
        <v>0</v>
      </c>
      <c r="M59" s="113">
        <v>0</v>
      </c>
      <c r="N59" s="113">
        <v>0</v>
      </c>
      <c r="O59" s="113">
        <v>0</v>
      </c>
      <c r="P59" s="114">
        <v>42735</v>
      </c>
      <c r="Q59" s="115"/>
      <c r="R59" s="116">
        <v>1975.03</v>
      </c>
      <c r="S59" s="109"/>
      <c r="T59" s="117">
        <f t="shared" ref="T59:T62" si="19">+R59</f>
        <v>1975.03</v>
      </c>
      <c r="U59" s="118">
        <f t="shared" si="6"/>
        <v>1975.0300000000002</v>
      </c>
      <c r="V59" s="119">
        <f t="shared" si="7"/>
        <v>0</v>
      </c>
      <c r="W59" s="116">
        <f t="shared" si="8"/>
        <v>1975.0300000000002</v>
      </c>
      <c r="X59" s="109"/>
      <c r="Y59" s="121" t="s">
        <v>1426</v>
      </c>
      <c r="Z59" s="109"/>
    </row>
    <row r="60" spans="1:26">
      <c r="A60" s="6">
        <v>51</v>
      </c>
      <c r="B60" s="109" t="s">
        <v>1398</v>
      </c>
      <c r="C60" s="109" t="s">
        <v>1436</v>
      </c>
      <c r="D60" s="110">
        <v>0</v>
      </c>
      <c r="E60" s="111">
        <v>0</v>
      </c>
      <c r="F60" s="111">
        <v>0</v>
      </c>
      <c r="G60" s="111">
        <v>0</v>
      </c>
      <c r="H60" s="111">
        <v>52745.33</v>
      </c>
      <c r="I60" s="112">
        <v>6744.02</v>
      </c>
      <c r="J60" s="113">
        <v>306.19</v>
      </c>
      <c r="K60" s="113">
        <v>632757.87</v>
      </c>
      <c r="L60" s="113">
        <v>636247.54</v>
      </c>
      <c r="M60" s="113">
        <v>632450</v>
      </c>
      <c r="N60" s="113">
        <v>0</v>
      </c>
      <c r="O60" s="113">
        <v>0</v>
      </c>
      <c r="P60" s="114">
        <v>42993</v>
      </c>
      <c r="Q60" s="115"/>
      <c r="R60" s="116">
        <v>1961250.9500000002</v>
      </c>
      <c r="S60" s="109"/>
      <c r="T60" s="117">
        <f t="shared" si="19"/>
        <v>1961250.9500000002</v>
      </c>
      <c r="U60" s="118">
        <f t="shared" si="6"/>
        <v>59489.350000000006</v>
      </c>
      <c r="V60" s="119">
        <f t="shared" si="7"/>
        <v>1901761.6</v>
      </c>
      <c r="W60" s="116">
        <f t="shared" si="8"/>
        <v>1961250.9500000002</v>
      </c>
      <c r="X60" s="109"/>
      <c r="Y60" s="121" t="s">
        <v>1426</v>
      </c>
      <c r="Z60" s="109"/>
    </row>
    <row r="61" spans="1:26">
      <c r="A61" s="6">
        <v>52</v>
      </c>
      <c r="B61" s="109" t="s">
        <v>1398</v>
      </c>
      <c r="C61" s="109" t="s">
        <v>1437</v>
      </c>
      <c r="D61" s="110">
        <v>0</v>
      </c>
      <c r="E61" s="111">
        <v>0</v>
      </c>
      <c r="F61" s="111">
        <v>13660.92</v>
      </c>
      <c r="G61" s="111">
        <v>5570.43</v>
      </c>
      <c r="H61" s="111">
        <v>67349.39</v>
      </c>
      <c r="I61" s="112">
        <v>436956.91000000003</v>
      </c>
      <c r="J61" s="113">
        <v>635240.45000000007</v>
      </c>
      <c r="K61" s="113">
        <v>278247.3</v>
      </c>
      <c r="L61" s="113">
        <v>7828.33</v>
      </c>
      <c r="M61" s="113">
        <v>7871.51</v>
      </c>
      <c r="N61" s="113">
        <v>7914.92</v>
      </c>
      <c r="O61" s="113">
        <v>7958.5700000000006</v>
      </c>
      <c r="P61" s="114">
        <v>43100</v>
      </c>
      <c r="Q61" s="115"/>
      <c r="R61" s="116">
        <v>1468598.73</v>
      </c>
      <c r="S61" s="109"/>
      <c r="T61" s="117">
        <f t="shared" si="19"/>
        <v>1468598.73</v>
      </c>
      <c r="U61" s="118">
        <f t="shared" si="6"/>
        <v>523537.65</v>
      </c>
      <c r="V61" s="119">
        <f t="shared" si="7"/>
        <v>945061.08</v>
      </c>
      <c r="W61" s="116">
        <f t="shared" si="8"/>
        <v>1468598.73</v>
      </c>
      <c r="X61" s="109"/>
      <c r="Y61" s="121" t="s">
        <v>1426</v>
      </c>
      <c r="Z61" s="109"/>
    </row>
    <row r="62" spans="1:26">
      <c r="A62" s="6">
        <v>53</v>
      </c>
      <c r="B62" s="109" t="s">
        <v>1398</v>
      </c>
      <c r="C62" s="109" t="s">
        <v>1438</v>
      </c>
      <c r="D62" s="110">
        <v>47337.67</v>
      </c>
      <c r="E62" s="111">
        <v>71.81</v>
      </c>
      <c r="F62" s="111">
        <v>15571.87</v>
      </c>
      <c r="G62" s="111">
        <v>18753.09</v>
      </c>
      <c r="H62" s="111">
        <v>0</v>
      </c>
      <c r="I62" s="112">
        <v>4155.0200000000004</v>
      </c>
      <c r="J62" s="113">
        <v>14999.99</v>
      </c>
      <c r="K62" s="113">
        <v>24999.99</v>
      </c>
      <c r="L62" s="113">
        <v>55787.55</v>
      </c>
      <c r="M62" s="113">
        <v>28718.62</v>
      </c>
      <c r="N62" s="113">
        <v>19999.990000000002</v>
      </c>
      <c r="O62" s="113">
        <v>15405.720000000001</v>
      </c>
      <c r="P62" s="114">
        <v>46022</v>
      </c>
      <c r="Q62" s="115">
        <v>376</v>
      </c>
      <c r="R62" s="116">
        <v>245801.32</v>
      </c>
      <c r="S62" s="109"/>
      <c r="T62" s="117">
        <f t="shared" si="19"/>
        <v>245801.32</v>
      </c>
      <c r="U62" s="118">
        <f t="shared" si="6"/>
        <v>85889.46</v>
      </c>
      <c r="V62" s="119">
        <f t="shared" si="7"/>
        <v>159911.85999999999</v>
      </c>
      <c r="W62" s="116">
        <f t="shared" si="8"/>
        <v>245801.32</v>
      </c>
      <c r="X62" s="117">
        <f t="shared" ref="X62" si="20">+T62</f>
        <v>245801.32</v>
      </c>
      <c r="Y62" s="121">
        <v>24</v>
      </c>
      <c r="Z62" s="109"/>
    </row>
    <row r="63" spans="1:26">
      <c r="A63" s="6">
        <v>54</v>
      </c>
      <c r="B63" s="109" t="s">
        <v>1398</v>
      </c>
      <c r="C63" s="109" t="s">
        <v>1439</v>
      </c>
      <c r="D63" s="110">
        <v>9728.630000000001</v>
      </c>
      <c r="E63" s="111">
        <v>0</v>
      </c>
      <c r="F63" s="111">
        <v>0</v>
      </c>
      <c r="G63" s="111">
        <v>0</v>
      </c>
      <c r="H63" s="111">
        <v>0</v>
      </c>
      <c r="I63" s="112">
        <v>0</v>
      </c>
      <c r="J63" s="113">
        <v>32893.78</v>
      </c>
      <c r="K63" s="113">
        <v>22893.77</v>
      </c>
      <c r="L63" s="113">
        <v>14999.99</v>
      </c>
      <c r="M63" s="113">
        <v>38972.42</v>
      </c>
      <c r="N63" s="113">
        <v>32893.79</v>
      </c>
      <c r="O63" s="113">
        <v>23612.77</v>
      </c>
      <c r="P63" s="115"/>
      <c r="Q63" s="115"/>
      <c r="R63" s="116">
        <v>175995.15</v>
      </c>
      <c r="S63" s="109"/>
      <c r="T63" s="117"/>
      <c r="U63" s="118">
        <f t="shared" si="6"/>
        <v>9728.630000000001</v>
      </c>
      <c r="V63" s="119">
        <f t="shared" si="7"/>
        <v>166266.51999999999</v>
      </c>
      <c r="W63" s="116">
        <f t="shared" si="8"/>
        <v>175995.15</v>
      </c>
      <c r="X63" s="109"/>
      <c r="Y63" s="121"/>
      <c r="Z63" s="109"/>
    </row>
    <row r="64" spans="1:26">
      <c r="A64" s="6">
        <v>55</v>
      </c>
      <c r="B64" s="109" t="s">
        <v>1398</v>
      </c>
      <c r="C64" s="109" t="s">
        <v>1440</v>
      </c>
      <c r="D64" s="110">
        <v>0</v>
      </c>
      <c r="E64" s="111">
        <v>265.63</v>
      </c>
      <c r="F64" s="111">
        <v>9157.73</v>
      </c>
      <c r="G64" s="111">
        <v>126480.43000000001</v>
      </c>
      <c r="H64" s="111">
        <v>178259.96</v>
      </c>
      <c r="I64" s="112">
        <v>287444.65000000002</v>
      </c>
      <c r="J64" s="113">
        <v>508507.55</v>
      </c>
      <c r="K64" s="113">
        <v>258331.97</v>
      </c>
      <c r="L64" s="113">
        <v>133266.67000000001</v>
      </c>
      <c r="M64" s="113">
        <v>7511.63</v>
      </c>
      <c r="N64" s="113">
        <v>7553.06</v>
      </c>
      <c r="O64" s="113">
        <v>7594.72</v>
      </c>
      <c r="P64" s="114">
        <v>43100</v>
      </c>
      <c r="Q64" s="115">
        <v>376</v>
      </c>
      <c r="R64" s="116">
        <v>1524374</v>
      </c>
      <c r="S64" s="109"/>
      <c r="T64" s="117">
        <f>+R64</f>
        <v>1524374</v>
      </c>
      <c r="U64" s="118">
        <f t="shared" si="6"/>
        <v>601608.4</v>
      </c>
      <c r="V64" s="119">
        <f t="shared" si="7"/>
        <v>922765.60000000009</v>
      </c>
      <c r="W64" s="116">
        <f t="shared" si="8"/>
        <v>1524374</v>
      </c>
      <c r="X64" s="117">
        <f t="shared" ref="X64" si="21">+T64</f>
        <v>1524374</v>
      </c>
      <c r="Y64" s="121">
        <v>20</v>
      </c>
      <c r="Z64" s="109"/>
    </row>
    <row r="65" spans="1:26">
      <c r="A65" s="6">
        <v>56</v>
      </c>
      <c r="B65" s="109" t="s">
        <v>1398</v>
      </c>
      <c r="C65" s="109" t="s">
        <v>1441</v>
      </c>
      <c r="D65" s="110">
        <v>111.42</v>
      </c>
      <c r="E65" s="111">
        <v>112.10000000000001</v>
      </c>
      <c r="F65" s="111">
        <v>112.77</v>
      </c>
      <c r="G65" s="111">
        <v>103.44</v>
      </c>
      <c r="H65" s="111">
        <v>1969.68</v>
      </c>
      <c r="I65" s="112">
        <v>15647.970000000001</v>
      </c>
      <c r="J65" s="113">
        <v>253179.63</v>
      </c>
      <c r="K65" s="113">
        <v>191330.91</v>
      </c>
      <c r="L65" s="113">
        <v>15300.11</v>
      </c>
      <c r="M65" s="113">
        <v>2735.4900000000002</v>
      </c>
      <c r="N65" s="113">
        <v>2750.57</v>
      </c>
      <c r="O65" s="113">
        <v>2765.7400000000002</v>
      </c>
      <c r="P65" s="114">
        <v>43100</v>
      </c>
      <c r="Q65" s="115">
        <v>376</v>
      </c>
      <c r="R65" s="116">
        <v>486119.83</v>
      </c>
      <c r="S65" s="109"/>
      <c r="T65" s="117"/>
      <c r="U65" s="118">
        <f t="shared" si="6"/>
        <v>18057.38</v>
      </c>
      <c r="V65" s="119">
        <f t="shared" si="7"/>
        <v>468062.45</v>
      </c>
      <c r="W65" s="116">
        <f t="shared" si="8"/>
        <v>486119.83</v>
      </c>
      <c r="X65" s="109"/>
      <c r="Y65" s="121"/>
      <c r="Z65" s="109"/>
    </row>
    <row r="66" spans="1:26">
      <c r="A66" s="6">
        <v>57</v>
      </c>
      <c r="B66" s="109" t="s">
        <v>1398</v>
      </c>
      <c r="C66" s="109" t="s">
        <v>1442</v>
      </c>
      <c r="D66" s="110">
        <v>0</v>
      </c>
      <c r="E66" s="111">
        <v>0</v>
      </c>
      <c r="F66" s="111">
        <v>0</v>
      </c>
      <c r="G66" s="111">
        <v>0</v>
      </c>
      <c r="H66" s="111">
        <v>0</v>
      </c>
      <c r="I66" s="112">
        <v>177619.28</v>
      </c>
      <c r="J66" s="113">
        <v>252980</v>
      </c>
      <c r="K66" s="113">
        <v>127885.18000000001</v>
      </c>
      <c r="L66" s="113">
        <v>2100.4700000000003</v>
      </c>
      <c r="M66" s="113">
        <v>2112.0500000000002</v>
      </c>
      <c r="N66" s="113">
        <v>0</v>
      </c>
      <c r="O66" s="113">
        <v>0</v>
      </c>
      <c r="P66" s="114">
        <v>43100</v>
      </c>
      <c r="Q66" s="115">
        <v>376</v>
      </c>
      <c r="R66" s="116">
        <v>562696.98</v>
      </c>
      <c r="S66" s="109"/>
      <c r="T66" s="117"/>
      <c r="U66" s="118">
        <f t="shared" si="6"/>
        <v>177619.28</v>
      </c>
      <c r="V66" s="119">
        <f t="shared" si="7"/>
        <v>385077.69999999995</v>
      </c>
      <c r="W66" s="116">
        <f t="shared" si="8"/>
        <v>562696.98</v>
      </c>
      <c r="X66" s="109"/>
      <c r="Y66" s="121"/>
      <c r="Z66" s="109"/>
    </row>
    <row r="67" spans="1:26">
      <c r="A67" s="6">
        <v>58</v>
      </c>
      <c r="B67" s="109" t="s">
        <v>1398</v>
      </c>
      <c r="C67" s="109" t="s">
        <v>1443</v>
      </c>
      <c r="D67" s="110">
        <v>9233.2199999999993</v>
      </c>
      <c r="E67" s="111">
        <v>9289.07</v>
      </c>
      <c r="F67" s="111">
        <v>9345.26</v>
      </c>
      <c r="G67" s="111">
        <v>8571.81</v>
      </c>
      <c r="H67" s="111">
        <v>66407.25</v>
      </c>
      <c r="I67" s="112">
        <v>366.23</v>
      </c>
      <c r="J67" s="113">
        <v>8987.34</v>
      </c>
      <c r="K67" s="113">
        <v>9036.9</v>
      </c>
      <c r="L67" s="113">
        <v>75493.990000000005</v>
      </c>
      <c r="M67" s="113">
        <v>9503.09</v>
      </c>
      <c r="N67" s="113">
        <v>9555.5</v>
      </c>
      <c r="O67" s="113">
        <v>9608.2000000000007</v>
      </c>
      <c r="P67" s="114">
        <v>43100</v>
      </c>
      <c r="Q67" s="115">
        <v>378</v>
      </c>
      <c r="R67" s="116">
        <v>225397.86000000002</v>
      </c>
      <c r="S67" s="109"/>
      <c r="T67" s="117">
        <f>+R67</f>
        <v>225397.86000000002</v>
      </c>
      <c r="U67" s="118">
        <f t="shared" si="6"/>
        <v>103212.84</v>
      </c>
      <c r="V67" s="119">
        <f t="shared" si="7"/>
        <v>122185.02</v>
      </c>
      <c r="W67" s="116">
        <f t="shared" si="8"/>
        <v>225397.86</v>
      </c>
      <c r="X67" s="117">
        <f t="shared" ref="X67" si="22">+T67</f>
        <v>225397.86000000002</v>
      </c>
      <c r="Y67" s="121">
        <v>8</v>
      </c>
      <c r="Z67" s="109"/>
    </row>
    <row r="68" spans="1:26">
      <c r="A68" s="6">
        <v>59</v>
      </c>
      <c r="B68" s="109" t="s">
        <v>1398</v>
      </c>
      <c r="C68" s="109" t="s">
        <v>1444</v>
      </c>
      <c r="D68" s="110">
        <v>0</v>
      </c>
      <c r="E68" s="111">
        <v>-201.38</v>
      </c>
      <c r="F68" s="111">
        <v>0</v>
      </c>
      <c r="G68" s="111">
        <v>0</v>
      </c>
      <c r="H68" s="111">
        <v>0</v>
      </c>
      <c r="I68" s="112">
        <v>0</v>
      </c>
      <c r="J68" s="113">
        <v>0</v>
      </c>
      <c r="K68" s="113">
        <v>0</v>
      </c>
      <c r="L68" s="113">
        <v>0</v>
      </c>
      <c r="M68" s="113">
        <v>0</v>
      </c>
      <c r="N68" s="113">
        <v>0</v>
      </c>
      <c r="O68" s="113">
        <v>0</v>
      </c>
      <c r="P68" s="115"/>
      <c r="Q68" s="115"/>
      <c r="R68" s="116">
        <v>-201.38</v>
      </c>
      <c r="S68" s="109"/>
      <c r="T68" s="117"/>
      <c r="U68" s="118">
        <f t="shared" si="6"/>
        <v>-201.38</v>
      </c>
      <c r="V68" s="119">
        <f t="shared" si="7"/>
        <v>0</v>
      </c>
      <c r="W68" s="116">
        <f t="shared" si="8"/>
        <v>-201.38</v>
      </c>
      <c r="X68" s="109"/>
      <c r="Y68" s="121"/>
      <c r="Z68" s="109"/>
    </row>
    <row r="69" spans="1:26">
      <c r="A69" s="6">
        <v>60</v>
      </c>
      <c r="B69" s="109" t="s">
        <v>1398</v>
      </c>
      <c r="C69" s="109" t="s">
        <v>1445</v>
      </c>
      <c r="D69" s="110">
        <v>0</v>
      </c>
      <c r="E69" s="111">
        <v>0</v>
      </c>
      <c r="F69" s="111">
        <v>0</v>
      </c>
      <c r="G69" s="111">
        <v>0</v>
      </c>
      <c r="H69" s="111">
        <v>0</v>
      </c>
      <c r="I69" s="112">
        <v>18107.37</v>
      </c>
      <c r="J69" s="113">
        <v>0</v>
      </c>
      <c r="K69" s="113">
        <v>0</v>
      </c>
      <c r="L69" s="113">
        <v>88543</v>
      </c>
      <c r="M69" s="113">
        <v>126490</v>
      </c>
      <c r="N69" s="113">
        <v>0</v>
      </c>
      <c r="O69" s="113">
        <v>0</v>
      </c>
      <c r="P69" s="114">
        <v>42962</v>
      </c>
      <c r="Q69" s="115">
        <v>376</v>
      </c>
      <c r="R69" s="116">
        <v>233140.37</v>
      </c>
      <c r="S69" s="109"/>
      <c r="T69" s="117">
        <f t="shared" ref="T69:T71" si="23">+R69</f>
        <v>233140.37</v>
      </c>
      <c r="U69" s="118">
        <f t="shared" si="6"/>
        <v>18107.37</v>
      </c>
      <c r="V69" s="119">
        <f t="shared" si="7"/>
        <v>215033</v>
      </c>
      <c r="W69" s="116">
        <f t="shared" si="8"/>
        <v>233140.37</v>
      </c>
      <c r="X69" s="120">
        <f t="shared" ref="X69" si="24">+T69</f>
        <v>233140.37</v>
      </c>
      <c r="Y69" s="121">
        <v>52</v>
      </c>
      <c r="Z69" s="109"/>
    </row>
    <row r="70" spans="1:26">
      <c r="A70" s="6">
        <v>61</v>
      </c>
      <c r="B70" s="109" t="s">
        <v>1398</v>
      </c>
      <c r="C70" s="109" t="s">
        <v>1446</v>
      </c>
      <c r="D70" s="110">
        <v>169.19</v>
      </c>
      <c r="E70" s="111">
        <v>170.22</v>
      </c>
      <c r="F70" s="111">
        <v>171.24</v>
      </c>
      <c r="G70" s="111">
        <v>157.07</v>
      </c>
      <c r="H70" s="111">
        <v>6995.9800000000005</v>
      </c>
      <c r="I70" s="112">
        <v>758.09</v>
      </c>
      <c r="J70" s="113">
        <v>31822.21</v>
      </c>
      <c r="K70" s="113">
        <v>19348.71</v>
      </c>
      <c r="L70" s="113">
        <v>6806.41</v>
      </c>
      <c r="M70" s="113">
        <v>11843.960000000001</v>
      </c>
      <c r="N70" s="113">
        <v>0</v>
      </c>
      <c r="O70" s="113">
        <v>0</v>
      </c>
      <c r="P70" s="114">
        <v>43039</v>
      </c>
      <c r="Q70" s="115">
        <v>376</v>
      </c>
      <c r="R70" s="116">
        <v>78243.08</v>
      </c>
      <c r="S70" s="109"/>
      <c r="T70" s="117">
        <f t="shared" si="23"/>
        <v>78243.08</v>
      </c>
      <c r="U70" s="118">
        <f t="shared" si="6"/>
        <v>8421.7900000000009</v>
      </c>
      <c r="V70" s="119">
        <f t="shared" si="7"/>
        <v>69821.290000000008</v>
      </c>
      <c r="W70" s="116">
        <f t="shared" si="8"/>
        <v>78243.080000000016</v>
      </c>
      <c r="X70" s="109"/>
      <c r="Y70" s="121" t="s">
        <v>1426</v>
      </c>
      <c r="Z70" s="109"/>
    </row>
    <row r="71" spans="1:26">
      <c r="A71" s="6">
        <v>62</v>
      </c>
      <c r="B71" s="109" t="s">
        <v>1398</v>
      </c>
      <c r="C71" s="109" t="s">
        <v>1447</v>
      </c>
      <c r="D71" s="110">
        <v>4804.3599999999997</v>
      </c>
      <c r="E71" s="111">
        <v>5192.38</v>
      </c>
      <c r="F71" s="111">
        <v>68244.149999999994</v>
      </c>
      <c r="G71" s="111">
        <v>-1980.78</v>
      </c>
      <c r="H71" s="111">
        <v>0</v>
      </c>
      <c r="I71" s="112">
        <v>0</v>
      </c>
      <c r="J71" s="113">
        <v>0</v>
      </c>
      <c r="K71" s="113">
        <v>0</v>
      </c>
      <c r="L71" s="113">
        <v>0</v>
      </c>
      <c r="M71" s="113">
        <v>0</v>
      </c>
      <c r="N71" s="113">
        <v>0</v>
      </c>
      <c r="O71" s="113">
        <v>0</v>
      </c>
      <c r="P71" s="114">
        <v>42735</v>
      </c>
      <c r="Q71" s="115">
        <v>376</v>
      </c>
      <c r="R71" s="116">
        <v>76260.11</v>
      </c>
      <c r="S71" s="109"/>
      <c r="T71" s="117">
        <f t="shared" si="23"/>
        <v>76260.11</v>
      </c>
      <c r="U71" s="118">
        <f t="shared" si="6"/>
        <v>76260.11</v>
      </c>
      <c r="V71" s="119">
        <f t="shared" si="7"/>
        <v>0</v>
      </c>
      <c r="W71" s="116">
        <f t="shared" si="8"/>
        <v>76260.11</v>
      </c>
      <c r="X71" s="117">
        <f t="shared" ref="X71" si="25">+T71</f>
        <v>76260.11</v>
      </c>
      <c r="Y71" s="121">
        <v>39</v>
      </c>
      <c r="Z71" s="109"/>
    </row>
    <row r="72" spans="1:26">
      <c r="A72" s="6">
        <v>63</v>
      </c>
      <c r="B72" s="109" t="s">
        <v>1398</v>
      </c>
      <c r="C72" s="109" t="s">
        <v>1448</v>
      </c>
      <c r="D72" s="110">
        <v>-8308.2900000000009</v>
      </c>
      <c r="E72" s="111">
        <v>203.88</v>
      </c>
      <c r="F72" s="111">
        <v>0</v>
      </c>
      <c r="G72" s="111">
        <v>-504.77000000000004</v>
      </c>
      <c r="H72" s="111">
        <v>1.73</v>
      </c>
      <c r="I72" s="112">
        <v>0</v>
      </c>
      <c r="J72" s="113">
        <v>0</v>
      </c>
      <c r="K72" s="113">
        <v>0</v>
      </c>
      <c r="L72" s="113">
        <v>0</v>
      </c>
      <c r="M72" s="113">
        <v>0</v>
      </c>
      <c r="N72" s="113">
        <v>0</v>
      </c>
      <c r="O72" s="113">
        <v>0</v>
      </c>
      <c r="P72" s="115"/>
      <c r="Q72" s="115"/>
      <c r="R72" s="116">
        <v>-8607.4500000000007</v>
      </c>
      <c r="S72" s="109"/>
      <c r="T72" s="117"/>
      <c r="U72" s="118">
        <f t="shared" si="6"/>
        <v>-8607.4500000000007</v>
      </c>
      <c r="V72" s="119">
        <f t="shared" si="7"/>
        <v>0</v>
      </c>
      <c r="W72" s="116">
        <f t="shared" si="8"/>
        <v>-8607.4500000000007</v>
      </c>
      <c r="X72" s="109"/>
      <c r="Y72" s="121"/>
      <c r="Z72" s="109"/>
    </row>
    <row r="73" spans="1:26">
      <c r="A73" s="6">
        <v>64</v>
      </c>
      <c r="B73" s="109" t="s">
        <v>1398</v>
      </c>
      <c r="C73" s="109" t="s">
        <v>1449</v>
      </c>
      <c r="D73" s="110">
        <v>0</v>
      </c>
      <c r="E73" s="111">
        <v>0</v>
      </c>
      <c r="F73" s="111">
        <v>0</v>
      </c>
      <c r="G73" s="111">
        <v>0</v>
      </c>
      <c r="H73" s="111">
        <v>0</v>
      </c>
      <c r="I73" s="112">
        <v>0</v>
      </c>
      <c r="J73" s="113">
        <v>0</v>
      </c>
      <c r="K73" s="113">
        <v>0</v>
      </c>
      <c r="L73" s="113">
        <v>0</v>
      </c>
      <c r="M73" s="113">
        <v>0</v>
      </c>
      <c r="N73" s="113">
        <v>0</v>
      </c>
      <c r="O73" s="113">
        <v>2691</v>
      </c>
      <c r="P73" s="115"/>
      <c r="Q73" s="115"/>
      <c r="R73" s="116">
        <v>2691</v>
      </c>
      <c r="S73" s="109"/>
      <c r="T73" s="117">
        <f>+R73</f>
        <v>2691</v>
      </c>
      <c r="U73" s="118">
        <f t="shared" si="6"/>
        <v>0</v>
      </c>
      <c r="V73" s="119">
        <f t="shared" si="7"/>
        <v>2691</v>
      </c>
      <c r="W73" s="116">
        <f t="shared" si="8"/>
        <v>2691</v>
      </c>
      <c r="X73" s="109"/>
      <c r="Y73" s="121" t="s">
        <v>1411</v>
      </c>
      <c r="Z73" s="109"/>
    </row>
    <row r="74" spans="1:26">
      <c r="A74" s="6">
        <v>65</v>
      </c>
      <c r="B74" s="109" t="s">
        <v>1398</v>
      </c>
      <c r="C74" s="109" t="s">
        <v>1450</v>
      </c>
      <c r="D74" s="110">
        <v>1581.56</v>
      </c>
      <c r="E74" s="111">
        <v>188.84</v>
      </c>
      <c r="F74" s="111">
        <v>189.98</v>
      </c>
      <c r="G74" s="111">
        <v>538.54</v>
      </c>
      <c r="H74" s="111">
        <v>4090.82</v>
      </c>
      <c r="I74" s="112">
        <v>26086.03</v>
      </c>
      <c r="J74" s="113">
        <v>632793.65</v>
      </c>
      <c r="K74" s="113">
        <v>320058.5</v>
      </c>
      <c r="L74" s="113">
        <v>132088.63</v>
      </c>
      <c r="M74" s="113">
        <v>37949.599999999999</v>
      </c>
      <c r="N74" s="113">
        <v>25509.89</v>
      </c>
      <c r="O74" s="113">
        <v>13001.57</v>
      </c>
      <c r="P74" s="115"/>
      <c r="Q74" s="115"/>
      <c r="R74" s="116">
        <v>1194077.6100000001</v>
      </c>
      <c r="S74" s="109"/>
      <c r="T74" s="117"/>
      <c r="U74" s="118">
        <f t="shared" si="6"/>
        <v>32675.769999999997</v>
      </c>
      <c r="V74" s="119">
        <f t="shared" si="7"/>
        <v>1161401.8400000001</v>
      </c>
      <c r="W74" s="116">
        <f t="shared" si="8"/>
        <v>1194077.6100000001</v>
      </c>
      <c r="X74" s="109"/>
      <c r="Y74" s="121"/>
      <c r="Z74" s="109"/>
    </row>
    <row r="75" spans="1:26">
      <c r="A75" s="6">
        <v>66</v>
      </c>
      <c r="B75" s="109" t="s">
        <v>1398</v>
      </c>
      <c r="C75" s="109" t="s">
        <v>1451</v>
      </c>
      <c r="D75" s="110">
        <v>0</v>
      </c>
      <c r="E75" s="111">
        <v>0</v>
      </c>
      <c r="F75" s="111">
        <v>0</v>
      </c>
      <c r="G75" s="111">
        <v>0</v>
      </c>
      <c r="H75" s="111">
        <v>0</v>
      </c>
      <c r="I75" s="112">
        <v>259.08</v>
      </c>
      <c r="J75" s="113">
        <v>0</v>
      </c>
      <c r="K75" s="113">
        <v>0</v>
      </c>
      <c r="L75" s="113">
        <v>0</v>
      </c>
      <c r="M75" s="113">
        <v>0</v>
      </c>
      <c r="N75" s="113">
        <v>0</v>
      </c>
      <c r="O75" s="113">
        <v>0</v>
      </c>
      <c r="P75" s="115"/>
      <c r="Q75" s="115"/>
      <c r="R75" s="116">
        <v>259.08</v>
      </c>
      <c r="S75" s="109"/>
      <c r="T75" s="117">
        <f t="shared" ref="T75:T76" si="26">+R75</f>
        <v>259.08</v>
      </c>
      <c r="U75" s="118">
        <f t="shared" si="6"/>
        <v>259.08</v>
      </c>
      <c r="V75" s="119">
        <f t="shared" si="7"/>
        <v>0</v>
      </c>
      <c r="W75" s="116">
        <f t="shared" si="8"/>
        <v>259.08</v>
      </c>
      <c r="X75" s="120"/>
      <c r="Y75" s="121" t="s">
        <v>1429</v>
      </c>
      <c r="Z75" s="109"/>
    </row>
    <row r="76" spans="1:26">
      <c r="A76" s="6">
        <v>67</v>
      </c>
      <c r="B76" s="109" t="s">
        <v>1398</v>
      </c>
      <c r="C76" s="109" t="s">
        <v>1452</v>
      </c>
      <c r="D76" s="110">
        <v>286.55</v>
      </c>
      <c r="E76" s="111">
        <v>291.92</v>
      </c>
      <c r="F76" s="111">
        <v>287.55</v>
      </c>
      <c r="G76" s="111">
        <v>282.27</v>
      </c>
      <c r="H76" s="111">
        <v>-997.89</v>
      </c>
      <c r="I76" s="112">
        <v>286.55</v>
      </c>
      <c r="J76" s="113">
        <v>0</v>
      </c>
      <c r="K76" s="113">
        <v>0</v>
      </c>
      <c r="L76" s="113">
        <v>0</v>
      </c>
      <c r="M76" s="113">
        <v>0</v>
      </c>
      <c r="N76" s="113">
        <v>0</v>
      </c>
      <c r="O76" s="113">
        <v>0</v>
      </c>
      <c r="P76" s="114">
        <v>42643</v>
      </c>
      <c r="Q76" s="115">
        <v>376</v>
      </c>
      <c r="R76" s="116">
        <v>436.95</v>
      </c>
      <c r="S76" s="109"/>
      <c r="T76" s="117">
        <f t="shared" si="26"/>
        <v>436.95</v>
      </c>
      <c r="U76" s="118">
        <f t="shared" si="6"/>
        <v>436.95</v>
      </c>
      <c r="V76" s="119">
        <f t="shared" si="7"/>
        <v>0</v>
      </c>
      <c r="W76" s="116">
        <f t="shared" si="8"/>
        <v>436.95</v>
      </c>
      <c r="X76" s="109"/>
      <c r="Y76" s="121" t="s">
        <v>1426</v>
      </c>
      <c r="Z76" s="109"/>
    </row>
    <row r="77" spans="1:26">
      <c r="A77" s="6">
        <v>68</v>
      </c>
      <c r="B77" s="109" t="s">
        <v>1398</v>
      </c>
      <c r="C77" s="109" t="s">
        <v>1453</v>
      </c>
      <c r="D77" s="110">
        <v>62961.020000000004</v>
      </c>
      <c r="E77" s="111">
        <v>2667.92</v>
      </c>
      <c r="F77" s="111">
        <v>11996.460000000001</v>
      </c>
      <c r="G77" s="111">
        <v>9586.56</v>
      </c>
      <c r="H77" s="111">
        <v>94435.75</v>
      </c>
      <c r="I77" s="112">
        <v>6081.1500000000005</v>
      </c>
      <c r="J77" s="113">
        <v>0</v>
      </c>
      <c r="K77" s="113">
        <v>0</v>
      </c>
      <c r="L77" s="113">
        <v>0</v>
      </c>
      <c r="M77" s="113">
        <v>0</v>
      </c>
      <c r="N77" s="113">
        <v>0</v>
      </c>
      <c r="O77" s="113">
        <v>0</v>
      </c>
      <c r="P77" s="115"/>
      <c r="Q77" s="115"/>
      <c r="R77" s="116">
        <v>187728.86000000002</v>
      </c>
      <c r="S77" s="109"/>
      <c r="T77" s="117"/>
      <c r="U77" s="118">
        <f t="shared" si="6"/>
        <v>187728.86000000002</v>
      </c>
      <c r="V77" s="119">
        <f t="shared" si="7"/>
        <v>0</v>
      </c>
      <c r="W77" s="116">
        <f t="shared" si="8"/>
        <v>187728.86000000002</v>
      </c>
      <c r="X77" s="109"/>
      <c r="Y77" s="121"/>
      <c r="Z77" s="109"/>
    </row>
    <row r="78" spans="1:26">
      <c r="A78" s="6">
        <v>69</v>
      </c>
      <c r="B78" s="109" t="s">
        <v>1398</v>
      </c>
      <c r="C78" s="109" t="s">
        <v>1454</v>
      </c>
      <c r="D78" s="110">
        <v>-482.39</v>
      </c>
      <c r="E78" s="111">
        <v>0.02</v>
      </c>
      <c r="F78" s="111">
        <v>0.02</v>
      </c>
      <c r="G78" s="111">
        <v>0.02</v>
      </c>
      <c r="H78" s="111">
        <v>0.02</v>
      </c>
      <c r="I78" s="112">
        <v>0.02</v>
      </c>
      <c r="J78" s="113">
        <v>0</v>
      </c>
      <c r="K78" s="113">
        <v>0</v>
      </c>
      <c r="L78" s="113">
        <v>0</v>
      </c>
      <c r="M78" s="113">
        <v>0</v>
      </c>
      <c r="N78" s="113">
        <v>0</v>
      </c>
      <c r="O78" s="113">
        <v>0</v>
      </c>
      <c r="P78" s="115"/>
      <c r="Q78" s="115"/>
      <c r="R78" s="116">
        <v>-482.29</v>
      </c>
      <c r="S78" s="109"/>
      <c r="T78" s="117"/>
      <c r="U78" s="118">
        <f t="shared" si="6"/>
        <v>-482.29000000000008</v>
      </c>
      <c r="V78" s="119">
        <f t="shared" si="7"/>
        <v>0</v>
      </c>
      <c r="W78" s="116">
        <f t="shared" si="8"/>
        <v>-482.29000000000008</v>
      </c>
      <c r="X78" s="109"/>
      <c r="Y78" s="121"/>
      <c r="Z78" s="109"/>
    </row>
    <row r="79" spans="1:26">
      <c r="A79" s="6">
        <v>70</v>
      </c>
      <c r="B79" s="109" t="s">
        <v>1398</v>
      </c>
      <c r="C79" s="109" t="s">
        <v>1455</v>
      </c>
      <c r="D79" s="110">
        <v>48876.19</v>
      </c>
      <c r="E79" s="111">
        <v>3676.62</v>
      </c>
      <c r="F79" s="111">
        <v>7909.26</v>
      </c>
      <c r="G79" s="111">
        <v>0</v>
      </c>
      <c r="H79" s="111">
        <v>0</v>
      </c>
      <c r="I79" s="112">
        <v>0</v>
      </c>
      <c r="J79" s="113">
        <v>0</v>
      </c>
      <c r="K79" s="113">
        <v>0</v>
      </c>
      <c r="L79" s="113">
        <v>0</v>
      </c>
      <c r="M79" s="113">
        <v>0</v>
      </c>
      <c r="N79" s="113">
        <v>0</v>
      </c>
      <c r="O79" s="113">
        <v>0</v>
      </c>
      <c r="P79" s="114">
        <v>42735</v>
      </c>
      <c r="Q79" s="115"/>
      <c r="R79" s="116">
        <v>60462.07</v>
      </c>
      <c r="S79" s="109"/>
      <c r="T79" s="117">
        <f t="shared" ref="T79:T95" si="27">+R79</f>
        <v>60462.07</v>
      </c>
      <c r="U79" s="118">
        <f t="shared" si="6"/>
        <v>60462.070000000007</v>
      </c>
      <c r="V79" s="119">
        <f t="shared" si="7"/>
        <v>0</v>
      </c>
      <c r="W79" s="116">
        <f t="shared" si="8"/>
        <v>60462.070000000007</v>
      </c>
      <c r="X79" s="109"/>
      <c r="Y79" s="121" t="s">
        <v>1426</v>
      </c>
      <c r="Z79" s="109"/>
    </row>
    <row r="80" spans="1:26">
      <c r="A80" s="6">
        <v>71</v>
      </c>
      <c r="B80" s="109" t="s">
        <v>1398</v>
      </c>
      <c r="C80" s="109" t="s">
        <v>1456</v>
      </c>
      <c r="D80" s="110">
        <v>48936.62</v>
      </c>
      <c r="E80" s="111">
        <v>3676.62</v>
      </c>
      <c r="F80" s="111">
        <v>19416.47</v>
      </c>
      <c r="G80" s="111">
        <v>0</v>
      </c>
      <c r="H80" s="111">
        <v>0</v>
      </c>
      <c r="I80" s="112">
        <v>0</v>
      </c>
      <c r="J80" s="113">
        <v>0</v>
      </c>
      <c r="K80" s="113">
        <v>0</v>
      </c>
      <c r="L80" s="113">
        <v>0</v>
      </c>
      <c r="M80" s="113">
        <v>0</v>
      </c>
      <c r="N80" s="113">
        <v>0</v>
      </c>
      <c r="O80" s="113">
        <v>0</v>
      </c>
      <c r="P80" s="114">
        <v>42735</v>
      </c>
      <c r="Q80" s="115"/>
      <c r="R80" s="116">
        <v>72029.710000000006</v>
      </c>
      <c r="S80" s="109"/>
      <c r="T80" s="117">
        <f t="shared" si="27"/>
        <v>72029.710000000006</v>
      </c>
      <c r="U80" s="118">
        <f t="shared" si="6"/>
        <v>72029.710000000006</v>
      </c>
      <c r="V80" s="119">
        <f t="shared" si="7"/>
        <v>0</v>
      </c>
      <c r="W80" s="116">
        <f t="shared" si="8"/>
        <v>72029.710000000006</v>
      </c>
      <c r="X80" s="109"/>
      <c r="Y80" s="121" t="s">
        <v>1426</v>
      </c>
      <c r="Z80" s="109"/>
    </row>
    <row r="81" spans="1:26">
      <c r="A81" s="6">
        <v>72</v>
      </c>
      <c r="B81" s="109" t="s">
        <v>1398</v>
      </c>
      <c r="C81" s="109" t="s">
        <v>1457</v>
      </c>
      <c r="D81" s="110">
        <v>0</v>
      </c>
      <c r="E81" s="111">
        <v>0</v>
      </c>
      <c r="F81" s="111">
        <v>0</v>
      </c>
      <c r="G81" s="111">
        <v>0</v>
      </c>
      <c r="H81" s="111">
        <v>0</v>
      </c>
      <c r="I81" s="112">
        <v>0</v>
      </c>
      <c r="J81" s="113">
        <v>0</v>
      </c>
      <c r="K81" s="113">
        <v>0</v>
      </c>
      <c r="L81" s="113">
        <v>50596</v>
      </c>
      <c r="M81" s="113">
        <v>69569.5</v>
      </c>
      <c r="N81" s="113">
        <v>0</v>
      </c>
      <c r="O81" s="113">
        <v>0</v>
      </c>
      <c r="P81" s="115"/>
      <c r="Q81" s="115"/>
      <c r="R81" s="116">
        <v>120165.5</v>
      </c>
      <c r="S81" s="109"/>
      <c r="T81" s="117"/>
      <c r="U81" s="118">
        <f t="shared" si="6"/>
        <v>0</v>
      </c>
      <c r="V81" s="119">
        <f t="shared" si="7"/>
        <v>120165.5</v>
      </c>
      <c r="W81" s="116">
        <f t="shared" si="8"/>
        <v>120165.5</v>
      </c>
      <c r="X81" s="109"/>
      <c r="Y81" s="121"/>
      <c r="Z81" s="109"/>
    </row>
    <row r="82" spans="1:26">
      <c r="A82" s="6">
        <v>73</v>
      </c>
      <c r="B82" s="109" t="s">
        <v>1398</v>
      </c>
      <c r="C82" s="109" t="s">
        <v>1458</v>
      </c>
      <c r="D82" s="110">
        <v>6756.88</v>
      </c>
      <c r="E82" s="111">
        <v>24852.29</v>
      </c>
      <c r="F82" s="111">
        <v>96288.92</v>
      </c>
      <c r="G82" s="111">
        <v>832898.79</v>
      </c>
      <c r="H82" s="111">
        <v>457551.32</v>
      </c>
      <c r="I82" s="112">
        <v>131346.23999999999</v>
      </c>
      <c r="J82" s="113">
        <v>50000</v>
      </c>
      <c r="K82" s="113">
        <v>275.75</v>
      </c>
      <c r="L82" s="113">
        <v>0</v>
      </c>
      <c r="M82" s="113">
        <v>0</v>
      </c>
      <c r="N82" s="113">
        <v>0</v>
      </c>
      <c r="O82" s="113">
        <v>0</v>
      </c>
      <c r="P82" s="114">
        <v>42978</v>
      </c>
      <c r="Q82" s="115">
        <v>376</v>
      </c>
      <c r="R82" s="116">
        <v>1599970.19</v>
      </c>
      <c r="S82" s="109"/>
      <c r="T82" s="117">
        <f t="shared" si="27"/>
        <v>1599970.19</v>
      </c>
      <c r="U82" s="118">
        <f t="shared" si="6"/>
        <v>1549694.44</v>
      </c>
      <c r="V82" s="119">
        <f t="shared" si="7"/>
        <v>50275.75</v>
      </c>
      <c r="W82" s="116">
        <f t="shared" si="8"/>
        <v>1599970.19</v>
      </c>
      <c r="X82" s="109"/>
      <c r="Y82" s="121" t="s">
        <v>1426</v>
      </c>
      <c r="Z82" s="109"/>
    </row>
    <row r="83" spans="1:26">
      <c r="A83" s="6">
        <v>74</v>
      </c>
      <c r="B83" s="109" t="s">
        <v>1398</v>
      </c>
      <c r="C83" s="109" t="s">
        <v>1459</v>
      </c>
      <c r="D83" s="110">
        <v>0</v>
      </c>
      <c r="E83" s="111">
        <v>0</v>
      </c>
      <c r="F83" s="111">
        <v>0</v>
      </c>
      <c r="G83" s="111">
        <v>0</v>
      </c>
      <c r="H83" s="111">
        <v>0</v>
      </c>
      <c r="I83" s="112">
        <v>0</v>
      </c>
      <c r="J83" s="113">
        <v>0</v>
      </c>
      <c r="K83" s="113">
        <v>0</v>
      </c>
      <c r="L83" s="113">
        <v>82218.5</v>
      </c>
      <c r="M83" s="113">
        <v>126943.44</v>
      </c>
      <c r="N83" s="113">
        <v>1153.53</v>
      </c>
      <c r="O83" s="113">
        <v>1159.8900000000001</v>
      </c>
      <c r="P83" s="114">
        <v>43465</v>
      </c>
      <c r="Q83" s="115">
        <v>376</v>
      </c>
      <c r="R83" s="116">
        <v>211475.36000000002</v>
      </c>
      <c r="S83" s="109"/>
      <c r="T83" s="117">
        <f t="shared" si="27"/>
        <v>211475.36000000002</v>
      </c>
      <c r="U83" s="118">
        <f t="shared" si="6"/>
        <v>0</v>
      </c>
      <c r="V83" s="119">
        <f t="shared" si="7"/>
        <v>211475.36000000002</v>
      </c>
      <c r="W83" s="116">
        <f t="shared" si="8"/>
        <v>211475.36000000002</v>
      </c>
      <c r="X83" s="120">
        <v>0</v>
      </c>
      <c r="Y83" s="121" t="s">
        <v>1385</v>
      </c>
      <c r="Z83" s="109"/>
    </row>
    <row r="84" spans="1:26">
      <c r="A84" s="6">
        <v>75</v>
      </c>
      <c r="B84" s="109" t="s">
        <v>1398</v>
      </c>
      <c r="C84" s="109" t="s">
        <v>1460</v>
      </c>
      <c r="D84" s="110">
        <v>-83891.7</v>
      </c>
      <c r="E84" s="111">
        <v>143790.94</v>
      </c>
      <c r="F84" s="111">
        <v>8953.27</v>
      </c>
      <c r="G84" s="111">
        <v>0</v>
      </c>
      <c r="H84" s="111">
        <v>0</v>
      </c>
      <c r="I84" s="112">
        <v>7050.42</v>
      </c>
      <c r="J84" s="113">
        <v>0</v>
      </c>
      <c r="K84" s="113">
        <v>0</v>
      </c>
      <c r="L84" s="113">
        <v>0</v>
      </c>
      <c r="M84" s="113">
        <v>0</v>
      </c>
      <c r="N84" s="113">
        <v>0</v>
      </c>
      <c r="O84" s="113">
        <v>0</v>
      </c>
      <c r="P84" s="114">
        <v>42704</v>
      </c>
      <c r="Q84" s="115">
        <v>376</v>
      </c>
      <c r="R84" s="116">
        <v>75902.930000000008</v>
      </c>
      <c r="S84" s="109"/>
      <c r="T84" s="117">
        <f t="shared" si="27"/>
        <v>75902.930000000008</v>
      </c>
      <c r="U84" s="118">
        <f t="shared" si="6"/>
        <v>75902.930000000008</v>
      </c>
      <c r="V84" s="119">
        <f t="shared" si="7"/>
        <v>0</v>
      </c>
      <c r="W84" s="116">
        <f t="shared" si="8"/>
        <v>75902.930000000008</v>
      </c>
      <c r="X84" s="117">
        <f t="shared" ref="X84" si="28">+T84</f>
        <v>75902.930000000008</v>
      </c>
      <c r="Y84" s="121">
        <v>15</v>
      </c>
      <c r="Z84" s="109"/>
    </row>
    <row r="85" spans="1:26">
      <c r="A85" s="6">
        <v>76</v>
      </c>
      <c r="B85" s="109" t="s">
        <v>1398</v>
      </c>
      <c r="C85" s="109" t="s">
        <v>1461</v>
      </c>
      <c r="D85" s="110">
        <v>52836.91</v>
      </c>
      <c r="E85" s="111">
        <v>319.61</v>
      </c>
      <c r="F85" s="111">
        <v>5622.6900000000005</v>
      </c>
      <c r="G85" s="111">
        <v>9808.8700000000008</v>
      </c>
      <c r="H85" s="111">
        <v>15186.82</v>
      </c>
      <c r="I85" s="112">
        <v>18870.64</v>
      </c>
      <c r="J85" s="113">
        <v>228248.09</v>
      </c>
      <c r="K85" s="113">
        <v>140963.88</v>
      </c>
      <c r="L85" s="113">
        <v>160714.79</v>
      </c>
      <c r="M85" s="113">
        <v>3488.63</v>
      </c>
      <c r="N85" s="113">
        <v>3507.88</v>
      </c>
      <c r="O85" s="113">
        <v>56231.39</v>
      </c>
      <c r="P85" s="115"/>
      <c r="Q85" s="115"/>
      <c r="R85" s="116">
        <v>695800.20000000007</v>
      </c>
      <c r="S85" s="109"/>
      <c r="T85" s="117"/>
      <c r="U85" s="118">
        <f t="shared" si="6"/>
        <v>102645.54</v>
      </c>
      <c r="V85" s="119">
        <f t="shared" si="7"/>
        <v>593154.66</v>
      </c>
      <c r="W85" s="116">
        <f t="shared" si="8"/>
        <v>695800.20000000007</v>
      </c>
      <c r="X85" s="109"/>
      <c r="Y85" s="121"/>
      <c r="Z85" s="109"/>
    </row>
    <row r="86" spans="1:26">
      <c r="A86" s="6">
        <v>77</v>
      </c>
      <c r="B86" s="109" t="s">
        <v>1398</v>
      </c>
      <c r="C86" s="109" t="s">
        <v>1462</v>
      </c>
      <c r="D86" s="110">
        <v>0</v>
      </c>
      <c r="E86" s="111">
        <v>0</v>
      </c>
      <c r="F86" s="111">
        <v>0</v>
      </c>
      <c r="G86" s="111">
        <v>0</v>
      </c>
      <c r="H86" s="111">
        <v>0</v>
      </c>
      <c r="I86" s="112">
        <v>0</v>
      </c>
      <c r="J86" s="113">
        <v>63245</v>
      </c>
      <c r="K86" s="113">
        <v>88891.790000000008</v>
      </c>
      <c r="L86" s="113">
        <v>0</v>
      </c>
      <c r="M86" s="113">
        <v>0</v>
      </c>
      <c r="N86" s="113">
        <v>0</v>
      </c>
      <c r="O86" s="113">
        <v>0</v>
      </c>
      <c r="P86" s="114">
        <v>42978</v>
      </c>
      <c r="Q86" s="115">
        <v>376</v>
      </c>
      <c r="R86" s="116">
        <v>152136.79</v>
      </c>
      <c r="S86" s="109"/>
      <c r="T86" s="117">
        <f t="shared" si="27"/>
        <v>152136.79</v>
      </c>
      <c r="U86" s="118">
        <f t="shared" si="6"/>
        <v>0</v>
      </c>
      <c r="V86" s="119">
        <f t="shared" si="7"/>
        <v>152136.79</v>
      </c>
      <c r="W86" s="116">
        <f t="shared" si="8"/>
        <v>152136.79</v>
      </c>
      <c r="X86" s="120">
        <f t="shared" ref="X86:X87" si="29">+T86</f>
        <v>152136.79</v>
      </c>
      <c r="Y86" s="121">
        <v>53</v>
      </c>
      <c r="Z86" s="109"/>
    </row>
    <row r="87" spans="1:26">
      <c r="A87" s="6">
        <v>78</v>
      </c>
      <c r="B87" s="109" t="s">
        <v>1398</v>
      </c>
      <c r="C87" s="109" t="s">
        <v>1463</v>
      </c>
      <c r="D87" s="110">
        <v>322.48</v>
      </c>
      <c r="E87" s="111">
        <v>-2877.06</v>
      </c>
      <c r="F87" s="111">
        <v>4063.17</v>
      </c>
      <c r="G87" s="111">
        <v>0</v>
      </c>
      <c r="H87" s="111">
        <v>0</v>
      </c>
      <c r="I87" s="112">
        <v>648.1</v>
      </c>
      <c r="J87" s="113">
        <v>0</v>
      </c>
      <c r="K87" s="113">
        <v>0</v>
      </c>
      <c r="L87" s="113">
        <v>0</v>
      </c>
      <c r="M87" s="113">
        <v>0</v>
      </c>
      <c r="N87" s="113">
        <v>0</v>
      </c>
      <c r="O87" s="113">
        <v>0</v>
      </c>
      <c r="P87" s="114">
        <v>42735</v>
      </c>
      <c r="Q87" s="115">
        <v>376</v>
      </c>
      <c r="R87" s="116">
        <v>2156.69</v>
      </c>
      <c r="S87" s="109"/>
      <c r="T87" s="117">
        <f t="shared" si="27"/>
        <v>2156.69</v>
      </c>
      <c r="U87" s="118">
        <f t="shared" si="6"/>
        <v>2156.69</v>
      </c>
      <c r="V87" s="119">
        <f t="shared" si="7"/>
        <v>0</v>
      </c>
      <c r="W87" s="116">
        <f t="shared" si="8"/>
        <v>2156.69</v>
      </c>
      <c r="X87" s="117">
        <f t="shared" si="29"/>
        <v>2156.69</v>
      </c>
      <c r="Y87" s="121">
        <v>16</v>
      </c>
      <c r="Z87" s="109"/>
    </row>
    <row r="88" spans="1:26">
      <c r="A88" s="6">
        <v>79</v>
      </c>
      <c r="B88" s="109" t="s">
        <v>1398</v>
      </c>
      <c r="C88" s="109" t="s">
        <v>1464</v>
      </c>
      <c r="D88" s="110">
        <v>2369.52</v>
      </c>
      <c r="E88" s="111">
        <v>498.21000000000004</v>
      </c>
      <c r="F88" s="111">
        <v>501.22</v>
      </c>
      <c r="G88" s="111">
        <v>459.74</v>
      </c>
      <c r="H88" s="111">
        <v>462.27</v>
      </c>
      <c r="I88" s="112">
        <v>464.82</v>
      </c>
      <c r="J88" s="113">
        <v>6791.89</v>
      </c>
      <c r="K88" s="113">
        <v>6829.34</v>
      </c>
      <c r="L88" s="113">
        <v>13191.5</v>
      </c>
      <c r="M88" s="113">
        <v>13264.26</v>
      </c>
      <c r="N88" s="113">
        <v>688.41</v>
      </c>
      <c r="O88" s="113">
        <v>692.2</v>
      </c>
      <c r="P88" s="114">
        <v>43100</v>
      </c>
      <c r="Q88" s="115">
        <v>376</v>
      </c>
      <c r="R88" s="116">
        <v>46213.38</v>
      </c>
      <c r="S88" s="109"/>
      <c r="T88" s="117">
        <f t="shared" si="27"/>
        <v>46213.38</v>
      </c>
      <c r="U88" s="118">
        <f t="shared" si="6"/>
        <v>4755.7799999999988</v>
      </c>
      <c r="V88" s="119">
        <f t="shared" si="7"/>
        <v>41457.599999999999</v>
      </c>
      <c r="W88" s="116">
        <f t="shared" si="8"/>
        <v>46213.38</v>
      </c>
      <c r="X88" s="109"/>
      <c r="Y88" s="121" t="s">
        <v>1426</v>
      </c>
      <c r="Z88" s="109"/>
    </row>
    <row r="89" spans="1:26">
      <c r="A89" s="6">
        <v>80</v>
      </c>
      <c r="B89" s="109" t="s">
        <v>1398</v>
      </c>
      <c r="C89" s="109" t="s">
        <v>1465</v>
      </c>
      <c r="D89" s="110">
        <v>0</v>
      </c>
      <c r="E89" s="111">
        <v>0</v>
      </c>
      <c r="F89" s="111">
        <v>0</v>
      </c>
      <c r="G89" s="111">
        <v>0</v>
      </c>
      <c r="H89" s="111">
        <v>0</v>
      </c>
      <c r="I89" s="112">
        <v>0</v>
      </c>
      <c r="J89" s="113">
        <v>0</v>
      </c>
      <c r="K89" s="113">
        <v>0</v>
      </c>
      <c r="L89" s="113">
        <v>0</v>
      </c>
      <c r="M89" s="113">
        <v>31622.5</v>
      </c>
      <c r="N89" s="113">
        <v>31796.9</v>
      </c>
      <c r="O89" s="113">
        <v>349.76</v>
      </c>
      <c r="P89" s="115"/>
      <c r="Q89" s="115"/>
      <c r="R89" s="116">
        <v>63769.16</v>
      </c>
      <c r="S89" s="109"/>
      <c r="T89" s="117">
        <f t="shared" si="27"/>
        <v>63769.16</v>
      </c>
      <c r="U89" s="118">
        <f t="shared" si="6"/>
        <v>0</v>
      </c>
      <c r="V89" s="119">
        <f t="shared" si="7"/>
        <v>63769.16</v>
      </c>
      <c r="W89" s="116">
        <f t="shared" si="8"/>
        <v>63769.16</v>
      </c>
      <c r="X89" s="120"/>
      <c r="Y89" s="121" t="s">
        <v>1411</v>
      </c>
      <c r="Z89" s="109"/>
    </row>
    <row r="90" spans="1:26">
      <c r="A90" s="6">
        <v>81</v>
      </c>
      <c r="B90" s="109" t="s">
        <v>1398</v>
      </c>
      <c r="C90" s="109" t="s">
        <v>1466</v>
      </c>
      <c r="D90" s="110">
        <v>3497.14</v>
      </c>
      <c r="E90" s="111">
        <v>112509</v>
      </c>
      <c r="F90" s="111">
        <v>4502.29</v>
      </c>
      <c r="G90" s="111">
        <v>2444.4900000000002</v>
      </c>
      <c r="H90" s="111">
        <v>0</v>
      </c>
      <c r="I90" s="112">
        <v>0</v>
      </c>
      <c r="J90" s="113">
        <v>0</v>
      </c>
      <c r="K90" s="113">
        <v>0</v>
      </c>
      <c r="L90" s="113">
        <v>0</v>
      </c>
      <c r="M90" s="113">
        <v>0</v>
      </c>
      <c r="N90" s="113">
        <v>0</v>
      </c>
      <c r="O90" s="113">
        <v>0</v>
      </c>
      <c r="P90" s="114">
        <v>42762</v>
      </c>
      <c r="Q90" s="115">
        <v>376</v>
      </c>
      <c r="R90" s="116">
        <v>122952.92</v>
      </c>
      <c r="S90" s="109"/>
      <c r="T90" s="117">
        <f t="shared" si="27"/>
        <v>122952.92</v>
      </c>
      <c r="U90" s="118">
        <f t="shared" si="6"/>
        <v>122952.92</v>
      </c>
      <c r="V90" s="119">
        <f t="shared" si="7"/>
        <v>0</v>
      </c>
      <c r="W90" s="116">
        <f t="shared" si="8"/>
        <v>122952.92</v>
      </c>
      <c r="X90" s="117">
        <f t="shared" ref="X90" si="30">+T90</f>
        <v>122952.92</v>
      </c>
      <c r="Y90" s="121">
        <v>40</v>
      </c>
      <c r="Z90" s="109"/>
    </row>
    <row r="91" spans="1:26">
      <c r="A91" s="6">
        <v>82</v>
      </c>
      <c r="B91" s="109" t="s">
        <v>1398</v>
      </c>
      <c r="C91" s="109" t="s">
        <v>1467</v>
      </c>
      <c r="D91" s="110">
        <v>4298.6900000000005</v>
      </c>
      <c r="E91" s="111">
        <v>131.43</v>
      </c>
      <c r="F91" s="111">
        <v>72385.89</v>
      </c>
      <c r="G91" s="111">
        <v>2534.62</v>
      </c>
      <c r="H91" s="111">
        <v>0</v>
      </c>
      <c r="I91" s="112">
        <v>0</v>
      </c>
      <c r="J91" s="113">
        <v>0</v>
      </c>
      <c r="K91" s="113">
        <v>0</v>
      </c>
      <c r="L91" s="113">
        <v>0</v>
      </c>
      <c r="M91" s="113">
        <v>0</v>
      </c>
      <c r="N91" s="113">
        <v>0</v>
      </c>
      <c r="O91" s="113">
        <v>0</v>
      </c>
      <c r="P91" s="114">
        <v>42748</v>
      </c>
      <c r="Q91" s="115">
        <v>376</v>
      </c>
      <c r="R91" s="116">
        <v>79350.63</v>
      </c>
      <c r="S91" s="109"/>
      <c r="T91" s="117">
        <f t="shared" si="27"/>
        <v>79350.63</v>
      </c>
      <c r="U91" s="118">
        <f t="shared" ref="U91:U154" si="31">SUM(D91:I91)</f>
        <v>79350.62999999999</v>
      </c>
      <c r="V91" s="119">
        <f t="shared" ref="V91:V154" si="32">SUM(J91:O91)</f>
        <v>0</v>
      </c>
      <c r="W91" s="116">
        <f t="shared" ref="W91:W154" si="33">U91+V91</f>
        <v>79350.62999999999</v>
      </c>
      <c r="X91" s="109"/>
      <c r="Y91" s="121" t="s">
        <v>1426</v>
      </c>
      <c r="Z91" s="109"/>
    </row>
    <row r="92" spans="1:26">
      <c r="A92" s="6">
        <v>83</v>
      </c>
      <c r="B92" s="109" t="s">
        <v>1398</v>
      </c>
      <c r="C92" s="109" t="s">
        <v>1468</v>
      </c>
      <c r="D92" s="110">
        <v>0</v>
      </c>
      <c r="E92" s="111">
        <v>2967.5</v>
      </c>
      <c r="F92" s="111">
        <v>71.25</v>
      </c>
      <c r="G92" s="111">
        <v>237.5</v>
      </c>
      <c r="H92" s="111">
        <v>6075.27</v>
      </c>
      <c r="I92" s="112">
        <v>84.66</v>
      </c>
      <c r="J92" s="113">
        <v>0</v>
      </c>
      <c r="K92" s="113">
        <v>0</v>
      </c>
      <c r="L92" s="113">
        <v>0</v>
      </c>
      <c r="M92" s="113">
        <v>0</v>
      </c>
      <c r="N92" s="113">
        <v>0</v>
      </c>
      <c r="O92" s="113">
        <v>0</v>
      </c>
      <c r="P92" s="114">
        <v>42582</v>
      </c>
      <c r="Q92" s="115">
        <v>376</v>
      </c>
      <c r="R92" s="116">
        <v>9436.18</v>
      </c>
      <c r="S92" s="109"/>
      <c r="T92" s="117">
        <f t="shared" si="27"/>
        <v>9436.18</v>
      </c>
      <c r="U92" s="118">
        <f t="shared" si="31"/>
        <v>9436.18</v>
      </c>
      <c r="V92" s="119">
        <f t="shared" si="32"/>
        <v>0</v>
      </c>
      <c r="W92" s="116">
        <f t="shared" si="33"/>
        <v>9436.18</v>
      </c>
      <c r="X92" s="120"/>
      <c r="Y92" s="121" t="s">
        <v>1429</v>
      </c>
      <c r="Z92" s="109"/>
    </row>
    <row r="93" spans="1:26">
      <c r="A93" s="6">
        <v>84</v>
      </c>
      <c r="B93" s="109" t="s">
        <v>1398</v>
      </c>
      <c r="C93" s="109" t="s">
        <v>1469</v>
      </c>
      <c r="D93" s="110">
        <v>222.14000000000001</v>
      </c>
      <c r="E93" s="111">
        <v>0</v>
      </c>
      <c r="F93" s="111">
        <v>0</v>
      </c>
      <c r="G93" s="111">
        <v>0</v>
      </c>
      <c r="H93" s="111">
        <v>0</v>
      </c>
      <c r="I93" s="112">
        <v>0</v>
      </c>
      <c r="J93" s="113">
        <v>0</v>
      </c>
      <c r="K93" s="113">
        <v>0</v>
      </c>
      <c r="L93" s="113">
        <v>0</v>
      </c>
      <c r="M93" s="113">
        <v>0</v>
      </c>
      <c r="N93" s="113">
        <v>0</v>
      </c>
      <c r="O93" s="113">
        <v>0</v>
      </c>
      <c r="P93" s="114">
        <v>42734</v>
      </c>
      <c r="Q93" s="115">
        <v>376</v>
      </c>
      <c r="R93" s="116">
        <v>222.14000000000001</v>
      </c>
      <c r="S93" s="109"/>
      <c r="T93" s="117">
        <f t="shared" si="27"/>
        <v>222.14000000000001</v>
      </c>
      <c r="U93" s="118">
        <f t="shared" si="31"/>
        <v>222.14000000000001</v>
      </c>
      <c r="V93" s="119">
        <f t="shared" si="32"/>
        <v>0</v>
      </c>
      <c r="W93" s="116">
        <f t="shared" si="33"/>
        <v>222.14000000000001</v>
      </c>
      <c r="X93" s="117">
        <f t="shared" ref="X93:X95" si="34">+T93</f>
        <v>222.14000000000001</v>
      </c>
      <c r="Y93" s="121">
        <v>25</v>
      </c>
      <c r="Z93" s="109"/>
    </row>
    <row r="94" spans="1:26">
      <c r="A94" s="6">
        <v>85</v>
      </c>
      <c r="B94" s="109" t="s">
        <v>1398</v>
      </c>
      <c r="C94" s="109" t="s">
        <v>1470</v>
      </c>
      <c r="D94" s="110">
        <v>0</v>
      </c>
      <c r="E94" s="111">
        <v>2200.67</v>
      </c>
      <c r="F94" s="111">
        <v>10498.99</v>
      </c>
      <c r="G94" s="111">
        <v>0</v>
      </c>
      <c r="H94" s="111">
        <v>0</v>
      </c>
      <c r="I94" s="112">
        <v>0</v>
      </c>
      <c r="J94" s="113">
        <v>0</v>
      </c>
      <c r="K94" s="113">
        <v>0</v>
      </c>
      <c r="L94" s="113">
        <v>0</v>
      </c>
      <c r="M94" s="113">
        <v>0</v>
      </c>
      <c r="N94" s="113">
        <v>0</v>
      </c>
      <c r="O94" s="113">
        <v>0</v>
      </c>
      <c r="P94" s="114">
        <v>42734</v>
      </c>
      <c r="Q94" s="115">
        <v>376</v>
      </c>
      <c r="R94" s="116">
        <v>12699.66</v>
      </c>
      <c r="S94" s="109"/>
      <c r="T94" s="117">
        <f t="shared" si="27"/>
        <v>12699.66</v>
      </c>
      <c r="U94" s="118">
        <f t="shared" si="31"/>
        <v>12699.66</v>
      </c>
      <c r="V94" s="119">
        <f t="shared" si="32"/>
        <v>0</v>
      </c>
      <c r="W94" s="116">
        <f t="shared" si="33"/>
        <v>12699.66</v>
      </c>
      <c r="X94" s="117">
        <f t="shared" si="34"/>
        <v>12699.66</v>
      </c>
      <c r="Y94" s="121">
        <v>26</v>
      </c>
      <c r="Z94" s="109"/>
    </row>
    <row r="95" spans="1:26">
      <c r="A95" s="6">
        <v>86</v>
      </c>
      <c r="B95" s="109" t="s">
        <v>1398</v>
      </c>
      <c r="C95" s="109" t="s">
        <v>1471</v>
      </c>
      <c r="D95" s="110">
        <v>-33.33</v>
      </c>
      <c r="E95" s="111">
        <v>0</v>
      </c>
      <c r="F95" s="111">
        <v>0</v>
      </c>
      <c r="G95" s="111">
        <v>0</v>
      </c>
      <c r="H95" s="111">
        <v>0</v>
      </c>
      <c r="I95" s="112">
        <v>2548.33</v>
      </c>
      <c r="J95" s="113">
        <v>0</v>
      </c>
      <c r="K95" s="113">
        <v>0</v>
      </c>
      <c r="L95" s="113">
        <v>0</v>
      </c>
      <c r="M95" s="113">
        <v>0</v>
      </c>
      <c r="N95" s="113">
        <v>0</v>
      </c>
      <c r="O95" s="113">
        <v>0</v>
      </c>
      <c r="P95" s="114">
        <v>42734</v>
      </c>
      <c r="Q95" s="115">
        <v>376</v>
      </c>
      <c r="R95" s="116">
        <v>2515</v>
      </c>
      <c r="S95" s="109"/>
      <c r="T95" s="117">
        <f t="shared" si="27"/>
        <v>2515</v>
      </c>
      <c r="U95" s="118">
        <f t="shared" si="31"/>
        <v>2515</v>
      </c>
      <c r="V95" s="119">
        <f t="shared" si="32"/>
        <v>0</v>
      </c>
      <c r="W95" s="116">
        <f t="shared" si="33"/>
        <v>2515</v>
      </c>
      <c r="X95" s="117">
        <f t="shared" si="34"/>
        <v>2515</v>
      </c>
      <c r="Y95" s="121">
        <v>27</v>
      </c>
      <c r="Z95" s="109"/>
    </row>
    <row r="96" spans="1:26">
      <c r="A96" s="6">
        <v>87</v>
      </c>
      <c r="B96" s="109" t="s">
        <v>1398</v>
      </c>
      <c r="C96" s="109" t="s">
        <v>1472</v>
      </c>
      <c r="D96" s="110">
        <v>9863.48</v>
      </c>
      <c r="E96" s="111">
        <v>2148.87</v>
      </c>
      <c r="F96" s="111">
        <v>24019.4</v>
      </c>
      <c r="G96" s="111">
        <v>8062.06</v>
      </c>
      <c r="H96" s="111">
        <v>21059.420000000002</v>
      </c>
      <c r="I96" s="112">
        <v>10013.83</v>
      </c>
      <c r="J96" s="113">
        <v>0</v>
      </c>
      <c r="K96" s="113">
        <v>0</v>
      </c>
      <c r="L96" s="113">
        <v>0</v>
      </c>
      <c r="M96" s="113">
        <v>0</v>
      </c>
      <c r="N96" s="113">
        <v>0</v>
      </c>
      <c r="O96" s="113">
        <v>0</v>
      </c>
      <c r="P96" s="115"/>
      <c r="Q96" s="115"/>
      <c r="R96" s="116">
        <v>75167.06</v>
      </c>
      <c r="S96" s="109"/>
      <c r="T96" s="117"/>
      <c r="U96" s="118">
        <f t="shared" si="31"/>
        <v>75167.06</v>
      </c>
      <c r="V96" s="119">
        <f t="shared" si="32"/>
        <v>0</v>
      </c>
      <c r="W96" s="116">
        <f t="shared" si="33"/>
        <v>75167.06</v>
      </c>
      <c r="X96" s="109"/>
      <c r="Y96" s="121"/>
      <c r="Z96" s="109"/>
    </row>
    <row r="97" spans="1:26">
      <c r="A97" s="6">
        <v>88</v>
      </c>
      <c r="B97" s="109" t="s">
        <v>1398</v>
      </c>
      <c r="C97" s="109" t="s">
        <v>1473</v>
      </c>
      <c r="D97" s="110">
        <v>4653.5</v>
      </c>
      <c r="E97" s="111">
        <v>73.14</v>
      </c>
      <c r="F97" s="111">
        <v>73.59</v>
      </c>
      <c r="G97" s="111">
        <v>67.5</v>
      </c>
      <c r="H97" s="111">
        <v>67.87</v>
      </c>
      <c r="I97" s="112">
        <v>68.239999999999995</v>
      </c>
      <c r="J97" s="113">
        <v>68.62</v>
      </c>
      <c r="K97" s="113">
        <v>69</v>
      </c>
      <c r="L97" s="113">
        <v>69.38</v>
      </c>
      <c r="M97" s="113">
        <v>69.77</v>
      </c>
      <c r="N97" s="113">
        <v>70.14</v>
      </c>
      <c r="O97" s="113">
        <v>70.53</v>
      </c>
      <c r="P97" s="115"/>
      <c r="Q97" s="115"/>
      <c r="R97" s="116">
        <v>5421.28</v>
      </c>
      <c r="S97" s="109"/>
      <c r="T97" s="117"/>
      <c r="U97" s="118">
        <f t="shared" si="31"/>
        <v>5003.84</v>
      </c>
      <c r="V97" s="119">
        <f t="shared" si="32"/>
        <v>417.43999999999994</v>
      </c>
      <c r="W97" s="116">
        <f t="shared" si="33"/>
        <v>5421.28</v>
      </c>
      <c r="X97" s="109"/>
      <c r="Y97" s="121"/>
      <c r="Z97" s="109"/>
    </row>
    <row r="98" spans="1:26">
      <c r="A98" s="6">
        <v>89</v>
      </c>
      <c r="B98" s="109" t="s">
        <v>1398</v>
      </c>
      <c r="C98" s="109" t="s">
        <v>1474</v>
      </c>
      <c r="D98" s="110">
        <v>2500.2800000000002</v>
      </c>
      <c r="E98" s="111">
        <v>725.07</v>
      </c>
      <c r="F98" s="111">
        <v>3929.07</v>
      </c>
      <c r="G98" s="111">
        <v>0</v>
      </c>
      <c r="H98" s="111">
        <v>6231.4000000000005</v>
      </c>
      <c r="I98" s="112">
        <v>471.15000000000003</v>
      </c>
      <c r="J98" s="113">
        <v>0</v>
      </c>
      <c r="K98" s="113">
        <v>0</v>
      </c>
      <c r="L98" s="113">
        <v>0</v>
      </c>
      <c r="M98" s="113">
        <v>0</v>
      </c>
      <c r="N98" s="113">
        <v>0</v>
      </c>
      <c r="O98" s="113">
        <v>0</v>
      </c>
      <c r="P98" s="114">
        <v>42811</v>
      </c>
      <c r="Q98" s="115">
        <v>378</v>
      </c>
      <c r="R98" s="116">
        <v>13856.970000000001</v>
      </c>
      <c r="S98" s="109"/>
      <c r="T98" s="117">
        <f>+R98</f>
        <v>13856.970000000001</v>
      </c>
      <c r="U98" s="118">
        <f t="shared" si="31"/>
        <v>13856.97</v>
      </c>
      <c r="V98" s="119">
        <f t="shared" si="32"/>
        <v>0</v>
      </c>
      <c r="W98" s="116">
        <f t="shared" si="33"/>
        <v>13856.97</v>
      </c>
      <c r="X98" s="117">
        <f>+T98</f>
        <v>13856.970000000001</v>
      </c>
      <c r="Y98" s="121">
        <v>37</v>
      </c>
      <c r="Z98" s="109"/>
    </row>
    <row r="99" spans="1:26">
      <c r="A99" s="6">
        <v>90</v>
      </c>
      <c r="B99" s="109" t="s">
        <v>1398</v>
      </c>
      <c r="C99" s="109" t="s">
        <v>1475</v>
      </c>
      <c r="D99" s="110">
        <v>0</v>
      </c>
      <c r="E99" s="111">
        <v>0</v>
      </c>
      <c r="F99" s="111">
        <v>0</v>
      </c>
      <c r="G99" s="111">
        <v>7416.25</v>
      </c>
      <c r="H99" s="111">
        <v>0</v>
      </c>
      <c r="I99" s="112">
        <v>0</v>
      </c>
      <c r="J99" s="113">
        <v>0</v>
      </c>
      <c r="K99" s="113">
        <v>0</v>
      </c>
      <c r="L99" s="113">
        <v>0</v>
      </c>
      <c r="M99" s="113">
        <v>0</v>
      </c>
      <c r="N99" s="113">
        <v>0</v>
      </c>
      <c r="O99" s="113">
        <v>0</v>
      </c>
      <c r="P99" s="114">
        <v>42643</v>
      </c>
      <c r="Q99" s="115">
        <v>378</v>
      </c>
      <c r="R99" s="116">
        <v>7416.25</v>
      </c>
      <c r="S99" s="109"/>
      <c r="T99" s="117">
        <f>+R99</f>
        <v>7416.25</v>
      </c>
      <c r="U99" s="118">
        <f t="shared" si="31"/>
        <v>7416.25</v>
      </c>
      <c r="V99" s="119">
        <f t="shared" si="32"/>
        <v>0</v>
      </c>
      <c r="W99" s="116">
        <f t="shared" si="33"/>
        <v>7416.25</v>
      </c>
      <c r="X99" s="117">
        <f>+T99</f>
        <v>7416.25</v>
      </c>
      <c r="Y99" s="121">
        <v>38</v>
      </c>
      <c r="Z99" s="109"/>
    </row>
    <row r="100" spans="1:26">
      <c r="A100" s="6">
        <v>91</v>
      </c>
      <c r="B100" s="109" t="s">
        <v>1398</v>
      </c>
      <c r="C100" s="109" t="s">
        <v>1476</v>
      </c>
      <c r="D100" s="110">
        <v>0</v>
      </c>
      <c r="E100" s="111">
        <v>0</v>
      </c>
      <c r="F100" s="111">
        <v>0</v>
      </c>
      <c r="G100" s="111">
        <v>0</v>
      </c>
      <c r="H100" s="111">
        <v>0</v>
      </c>
      <c r="I100" s="112">
        <v>0</v>
      </c>
      <c r="J100" s="113">
        <v>0</v>
      </c>
      <c r="K100" s="113">
        <v>0</v>
      </c>
      <c r="L100" s="113">
        <v>0</v>
      </c>
      <c r="M100" s="113">
        <v>55655.6</v>
      </c>
      <c r="N100" s="113">
        <v>306.94</v>
      </c>
      <c r="O100" s="113">
        <v>308.63</v>
      </c>
      <c r="P100" s="115"/>
      <c r="Q100" s="115"/>
      <c r="R100" s="116">
        <v>56271.17</v>
      </c>
      <c r="S100" s="109"/>
      <c r="T100" s="117">
        <f>+R100</f>
        <v>56271.17</v>
      </c>
      <c r="U100" s="118">
        <f t="shared" si="31"/>
        <v>0</v>
      </c>
      <c r="V100" s="119">
        <f t="shared" si="32"/>
        <v>56271.17</v>
      </c>
      <c r="W100" s="116">
        <f t="shared" si="33"/>
        <v>56271.17</v>
      </c>
      <c r="X100" s="117">
        <f>+T100</f>
        <v>56271.17</v>
      </c>
      <c r="Y100" s="121">
        <v>21</v>
      </c>
      <c r="Z100" s="109"/>
    </row>
    <row r="101" spans="1:26">
      <c r="A101" s="6">
        <v>92</v>
      </c>
      <c r="B101" s="109" t="s">
        <v>1398</v>
      </c>
      <c r="C101" s="109" t="s">
        <v>1477</v>
      </c>
      <c r="D101" s="110">
        <v>2.5</v>
      </c>
      <c r="E101" s="111">
        <v>2.52</v>
      </c>
      <c r="F101" s="111">
        <v>2.54</v>
      </c>
      <c r="G101" s="111">
        <v>2.33</v>
      </c>
      <c r="H101" s="111">
        <v>2.34</v>
      </c>
      <c r="I101" s="112">
        <v>2.35</v>
      </c>
      <c r="J101" s="113">
        <v>2.37</v>
      </c>
      <c r="K101" s="113">
        <v>2.38</v>
      </c>
      <c r="L101" s="113">
        <v>2.4</v>
      </c>
      <c r="M101" s="113">
        <v>2.4</v>
      </c>
      <c r="N101" s="113">
        <v>2.42</v>
      </c>
      <c r="O101" s="113">
        <v>2.4300000000000002</v>
      </c>
      <c r="P101" s="114">
        <v>43465</v>
      </c>
      <c r="Q101" s="115">
        <v>376</v>
      </c>
      <c r="R101" s="116">
        <v>28.98</v>
      </c>
      <c r="S101" s="109"/>
      <c r="T101" s="117"/>
      <c r="U101" s="118">
        <f t="shared" si="31"/>
        <v>14.58</v>
      </c>
      <c r="V101" s="119">
        <f t="shared" si="32"/>
        <v>14.4</v>
      </c>
      <c r="W101" s="116">
        <f t="shared" si="33"/>
        <v>28.98</v>
      </c>
      <c r="X101" s="109"/>
      <c r="Y101" s="121"/>
      <c r="Z101" s="109"/>
    </row>
    <row r="102" spans="1:26">
      <c r="A102" s="6">
        <v>93</v>
      </c>
      <c r="B102" s="109" t="s">
        <v>1398</v>
      </c>
      <c r="C102" s="109" t="s">
        <v>1478</v>
      </c>
      <c r="D102" s="110">
        <v>4625.59</v>
      </c>
      <c r="E102" s="111">
        <v>0</v>
      </c>
      <c r="F102" s="111">
        <v>5624.87</v>
      </c>
      <c r="G102" s="111">
        <v>3751.23</v>
      </c>
      <c r="H102" s="111">
        <v>7515.13</v>
      </c>
      <c r="I102" s="112">
        <v>64.680000000000007</v>
      </c>
      <c r="J102" s="113">
        <v>0</v>
      </c>
      <c r="K102" s="113">
        <v>0</v>
      </c>
      <c r="L102" s="113">
        <v>0</v>
      </c>
      <c r="M102" s="113">
        <v>0</v>
      </c>
      <c r="N102" s="113">
        <v>0</v>
      </c>
      <c r="O102" s="113">
        <v>0</v>
      </c>
      <c r="P102" s="115"/>
      <c r="Q102" s="115"/>
      <c r="R102" s="116">
        <v>21581.5</v>
      </c>
      <c r="S102" s="109"/>
      <c r="T102" s="117"/>
      <c r="U102" s="118">
        <f t="shared" si="31"/>
        <v>21581.5</v>
      </c>
      <c r="V102" s="119">
        <f t="shared" si="32"/>
        <v>0</v>
      </c>
      <c r="W102" s="116">
        <f t="shared" si="33"/>
        <v>21581.5</v>
      </c>
      <c r="X102" s="109"/>
      <c r="Y102" s="121"/>
      <c r="Z102" s="109"/>
    </row>
    <row r="103" spans="1:26">
      <c r="A103" s="6">
        <v>94</v>
      </c>
      <c r="B103" s="109" t="s">
        <v>1398</v>
      </c>
      <c r="C103" s="109" t="s">
        <v>1479</v>
      </c>
      <c r="D103" s="110">
        <v>0</v>
      </c>
      <c r="E103" s="111">
        <v>0</v>
      </c>
      <c r="F103" s="111">
        <v>0</v>
      </c>
      <c r="G103" s="111">
        <v>0</v>
      </c>
      <c r="H103" s="111">
        <v>0</v>
      </c>
      <c r="I103" s="112">
        <v>0</v>
      </c>
      <c r="J103" s="113">
        <v>34784.75</v>
      </c>
      <c r="K103" s="113">
        <v>38138.840000000004</v>
      </c>
      <c r="L103" s="113">
        <v>32024.670000000002</v>
      </c>
      <c r="M103" s="113">
        <v>578.79</v>
      </c>
      <c r="N103" s="113">
        <v>581.98</v>
      </c>
      <c r="O103" s="113">
        <v>585.19000000000005</v>
      </c>
      <c r="P103" s="115"/>
      <c r="Q103" s="115"/>
      <c r="R103" s="116">
        <v>106694.22</v>
      </c>
      <c r="S103" s="109"/>
      <c r="T103" s="117"/>
      <c r="U103" s="118">
        <f t="shared" si="31"/>
        <v>0</v>
      </c>
      <c r="V103" s="119">
        <f t="shared" si="32"/>
        <v>106694.21999999999</v>
      </c>
      <c r="W103" s="116">
        <f t="shared" si="33"/>
        <v>106694.21999999999</v>
      </c>
      <c r="X103" s="109"/>
      <c r="Y103" s="121"/>
      <c r="Z103" s="109"/>
    </row>
    <row r="104" spans="1:26">
      <c r="A104" s="6">
        <v>95</v>
      </c>
      <c r="B104" s="109" t="s">
        <v>1398</v>
      </c>
      <c r="C104" s="109" t="s">
        <v>1480</v>
      </c>
      <c r="D104" s="110">
        <v>48448.88</v>
      </c>
      <c r="E104" s="111">
        <v>344.81</v>
      </c>
      <c r="F104" s="111">
        <v>346.90000000000003</v>
      </c>
      <c r="G104" s="111">
        <v>318.18</v>
      </c>
      <c r="H104" s="111">
        <v>319.94</v>
      </c>
      <c r="I104" s="112">
        <v>14476.73</v>
      </c>
      <c r="J104" s="113">
        <v>6324.5</v>
      </c>
      <c r="K104" s="113">
        <v>0</v>
      </c>
      <c r="L104" s="113">
        <v>0</v>
      </c>
      <c r="M104" s="113">
        <v>0</v>
      </c>
      <c r="N104" s="113">
        <v>0</v>
      </c>
      <c r="O104" s="113">
        <v>0</v>
      </c>
      <c r="P104" s="115"/>
      <c r="Q104" s="115"/>
      <c r="R104" s="116">
        <v>70579.94</v>
      </c>
      <c r="S104" s="109"/>
      <c r="T104" s="117"/>
      <c r="U104" s="118">
        <f t="shared" si="31"/>
        <v>64255.44</v>
      </c>
      <c r="V104" s="119">
        <f t="shared" si="32"/>
        <v>6324.5</v>
      </c>
      <c r="W104" s="116">
        <f t="shared" si="33"/>
        <v>70579.94</v>
      </c>
      <c r="X104" s="109"/>
      <c r="Y104" s="121"/>
      <c r="Z104" s="109"/>
    </row>
    <row r="105" spans="1:26">
      <c r="A105" s="6">
        <v>96</v>
      </c>
      <c r="B105" s="109" t="s">
        <v>1398</v>
      </c>
      <c r="C105" s="109" t="s">
        <v>1481</v>
      </c>
      <c r="D105" s="110">
        <v>170.24</v>
      </c>
      <c r="E105" s="111">
        <v>171.28</v>
      </c>
      <c r="F105" s="111">
        <v>172.31</v>
      </c>
      <c r="G105" s="111">
        <v>158.05000000000001</v>
      </c>
      <c r="H105" s="111">
        <v>37645.800000000003</v>
      </c>
      <c r="I105" s="112">
        <v>361.74</v>
      </c>
      <c r="J105" s="113">
        <v>1628.65</v>
      </c>
      <c r="K105" s="113">
        <v>0</v>
      </c>
      <c r="L105" s="113">
        <v>0</v>
      </c>
      <c r="M105" s="113">
        <v>0</v>
      </c>
      <c r="N105" s="113">
        <v>0</v>
      </c>
      <c r="O105" s="113">
        <v>0</v>
      </c>
      <c r="P105" s="115"/>
      <c r="Q105" s="115"/>
      <c r="R105" s="116">
        <v>40308.07</v>
      </c>
      <c r="S105" s="109"/>
      <c r="T105" s="117"/>
      <c r="U105" s="118">
        <f t="shared" si="31"/>
        <v>38679.42</v>
      </c>
      <c r="V105" s="119">
        <f t="shared" si="32"/>
        <v>1628.65</v>
      </c>
      <c r="W105" s="116">
        <f t="shared" si="33"/>
        <v>40308.07</v>
      </c>
      <c r="X105" s="109"/>
      <c r="Y105" s="121"/>
      <c r="Z105" s="109"/>
    </row>
    <row r="106" spans="1:26">
      <c r="A106" s="6">
        <v>97</v>
      </c>
      <c r="B106" s="109" t="s">
        <v>1398</v>
      </c>
      <c r="C106" s="109" t="s">
        <v>1482</v>
      </c>
      <c r="D106" s="110">
        <v>0</v>
      </c>
      <c r="E106" s="111">
        <v>0</v>
      </c>
      <c r="F106" s="111">
        <v>0</v>
      </c>
      <c r="G106" s="111">
        <v>0</v>
      </c>
      <c r="H106" s="111">
        <v>0</v>
      </c>
      <c r="I106" s="112">
        <v>0</v>
      </c>
      <c r="J106" s="113">
        <v>0</v>
      </c>
      <c r="K106" s="113">
        <v>0</v>
      </c>
      <c r="L106" s="113">
        <v>50596</v>
      </c>
      <c r="M106" s="113">
        <v>50596</v>
      </c>
      <c r="N106" s="113">
        <v>0</v>
      </c>
      <c r="O106" s="113">
        <v>0</v>
      </c>
      <c r="P106" s="115"/>
      <c r="Q106" s="115"/>
      <c r="R106" s="116">
        <v>101192</v>
      </c>
      <c r="S106" s="109"/>
      <c r="T106" s="117"/>
      <c r="U106" s="118">
        <f t="shared" si="31"/>
        <v>0</v>
      </c>
      <c r="V106" s="119">
        <f t="shared" si="32"/>
        <v>101192</v>
      </c>
      <c r="W106" s="116">
        <f t="shared" si="33"/>
        <v>101192</v>
      </c>
      <c r="X106" s="109"/>
      <c r="Y106" s="121"/>
      <c r="Z106" s="109"/>
    </row>
    <row r="107" spans="1:26">
      <c r="A107" s="6">
        <v>98</v>
      </c>
      <c r="B107" s="109" t="s">
        <v>1398</v>
      </c>
      <c r="C107" s="109" t="s">
        <v>1483</v>
      </c>
      <c r="D107" s="110">
        <v>0</v>
      </c>
      <c r="E107" s="111">
        <v>0</v>
      </c>
      <c r="F107" s="111">
        <v>0</v>
      </c>
      <c r="G107" s="111">
        <v>0</v>
      </c>
      <c r="H107" s="111">
        <v>0</v>
      </c>
      <c r="I107" s="112">
        <v>0</v>
      </c>
      <c r="J107" s="113">
        <v>0</v>
      </c>
      <c r="K107" s="113">
        <v>94867.5</v>
      </c>
      <c r="L107" s="113">
        <v>63768.19</v>
      </c>
      <c r="M107" s="113">
        <v>874.88</v>
      </c>
      <c r="N107" s="113">
        <v>879.7</v>
      </c>
      <c r="O107" s="113">
        <v>884.55000000000007</v>
      </c>
      <c r="P107" s="115"/>
      <c r="Q107" s="115"/>
      <c r="R107" s="116">
        <v>161274.82</v>
      </c>
      <c r="S107" s="109"/>
      <c r="T107" s="117"/>
      <c r="U107" s="118">
        <f t="shared" si="31"/>
        <v>0</v>
      </c>
      <c r="V107" s="119">
        <f t="shared" si="32"/>
        <v>161274.82</v>
      </c>
      <c r="W107" s="116">
        <f t="shared" si="33"/>
        <v>161274.82</v>
      </c>
      <c r="X107" s="109"/>
      <c r="Y107" s="121"/>
      <c r="Z107" s="109"/>
    </row>
    <row r="108" spans="1:26">
      <c r="A108" s="6">
        <v>99</v>
      </c>
      <c r="B108" s="109" t="s">
        <v>1398</v>
      </c>
      <c r="C108" s="109" t="s">
        <v>1628</v>
      </c>
      <c r="D108" s="110">
        <v>8.4499999999999993</v>
      </c>
      <c r="E108" s="111">
        <v>8.49</v>
      </c>
      <c r="F108" s="111">
        <v>8.5500000000000007</v>
      </c>
      <c r="G108" s="111">
        <v>12816.15</v>
      </c>
      <c r="H108" s="111">
        <v>36175.85</v>
      </c>
      <c r="I108" s="112">
        <v>6271.87</v>
      </c>
      <c r="J108" s="113">
        <v>0</v>
      </c>
      <c r="K108" s="113">
        <v>0</v>
      </c>
      <c r="L108" s="113">
        <v>0</v>
      </c>
      <c r="M108" s="113">
        <v>0</v>
      </c>
      <c r="N108" s="113">
        <v>0</v>
      </c>
      <c r="O108" s="113">
        <v>0</v>
      </c>
      <c r="P108" s="114">
        <v>42978</v>
      </c>
      <c r="Q108" s="115">
        <v>376</v>
      </c>
      <c r="R108" s="116">
        <v>55289.36</v>
      </c>
      <c r="S108" s="109"/>
      <c r="T108" s="117">
        <f>+R108</f>
        <v>55289.36</v>
      </c>
      <c r="U108" s="118">
        <f t="shared" si="31"/>
        <v>55289.36</v>
      </c>
      <c r="V108" s="119">
        <f t="shared" si="32"/>
        <v>0</v>
      </c>
      <c r="W108" s="116">
        <f t="shared" si="33"/>
        <v>55289.36</v>
      </c>
      <c r="X108" s="117">
        <f>+T108</f>
        <v>55289.36</v>
      </c>
      <c r="Y108" s="121">
        <v>17</v>
      </c>
      <c r="Z108" s="109"/>
    </row>
    <row r="109" spans="1:26">
      <c r="A109" s="6">
        <v>100</v>
      </c>
      <c r="B109" s="109" t="s">
        <v>1398</v>
      </c>
      <c r="C109" s="109" t="s">
        <v>1484</v>
      </c>
      <c r="D109" s="110">
        <v>1.29</v>
      </c>
      <c r="E109" s="111">
        <v>0</v>
      </c>
      <c r="F109" s="111">
        <v>3353.56</v>
      </c>
      <c r="G109" s="111">
        <v>17323.78</v>
      </c>
      <c r="H109" s="111">
        <v>133847.58000000002</v>
      </c>
      <c r="I109" s="112">
        <v>0</v>
      </c>
      <c r="J109" s="113">
        <v>825.23</v>
      </c>
      <c r="K109" s="113">
        <v>829.78</v>
      </c>
      <c r="L109" s="113">
        <v>834.35</v>
      </c>
      <c r="M109" s="113">
        <v>838.95</v>
      </c>
      <c r="N109" s="113">
        <v>843.59</v>
      </c>
      <c r="O109" s="113">
        <v>848.24</v>
      </c>
      <c r="P109" s="115"/>
      <c r="Q109" s="115"/>
      <c r="R109" s="116">
        <v>159546.35</v>
      </c>
      <c r="S109" s="109"/>
      <c r="T109" s="117"/>
      <c r="U109" s="118">
        <f t="shared" si="31"/>
        <v>154526.21000000002</v>
      </c>
      <c r="V109" s="119">
        <f t="shared" si="32"/>
        <v>5020.1400000000003</v>
      </c>
      <c r="W109" s="116">
        <f t="shared" si="33"/>
        <v>159546.35000000003</v>
      </c>
      <c r="X109" s="109"/>
      <c r="Y109" s="121">
        <v>1</v>
      </c>
      <c r="Z109" s="109"/>
    </row>
    <row r="110" spans="1:26">
      <c r="A110" s="6">
        <v>101</v>
      </c>
      <c r="B110" s="109" t="s">
        <v>1398</v>
      </c>
      <c r="C110" s="109" t="s">
        <v>1485</v>
      </c>
      <c r="D110" s="110">
        <v>64242.18</v>
      </c>
      <c r="E110" s="111">
        <v>60861.22</v>
      </c>
      <c r="F110" s="111">
        <v>84583.35</v>
      </c>
      <c r="G110" s="111">
        <v>83263.17</v>
      </c>
      <c r="H110" s="111">
        <v>129580.83</v>
      </c>
      <c r="I110" s="112">
        <v>70501.39</v>
      </c>
      <c r="J110" s="113">
        <v>99889.58</v>
      </c>
      <c r="K110" s="113">
        <v>99889.58</v>
      </c>
      <c r="L110" s="113">
        <v>99889.58</v>
      </c>
      <c r="M110" s="113">
        <v>99889.58</v>
      </c>
      <c r="N110" s="113">
        <v>99889.58</v>
      </c>
      <c r="O110" s="113">
        <v>99889.58</v>
      </c>
      <c r="P110" s="114">
        <v>43100</v>
      </c>
      <c r="Q110" s="115">
        <v>381</v>
      </c>
      <c r="R110" s="116">
        <v>1092369.6200000001</v>
      </c>
      <c r="S110" s="800">
        <f>+'State Allocation Formulas'!$L$25</f>
        <v>0.77239999999999998</v>
      </c>
      <c r="T110" s="117">
        <f>+R110*S110</f>
        <v>843746.2944880001</v>
      </c>
      <c r="U110" s="118">
        <f t="shared" si="31"/>
        <v>493032.14</v>
      </c>
      <c r="V110" s="119">
        <f t="shared" si="32"/>
        <v>599337.48</v>
      </c>
      <c r="W110" s="116">
        <f t="shared" si="33"/>
        <v>1092369.6200000001</v>
      </c>
      <c r="X110" s="120">
        <f t="shared" ref="X110" si="35">+T110</f>
        <v>843746.2944880001</v>
      </c>
      <c r="Y110" s="121">
        <v>51</v>
      </c>
      <c r="Z110" s="109"/>
    </row>
    <row r="111" spans="1:26">
      <c r="A111" s="6">
        <v>102</v>
      </c>
      <c r="B111" s="109" t="s">
        <v>1398</v>
      </c>
      <c r="C111" s="109" t="s">
        <v>1486</v>
      </c>
      <c r="D111" s="110">
        <v>320.5</v>
      </c>
      <c r="E111" s="111">
        <v>12080.95</v>
      </c>
      <c r="F111" s="111">
        <v>0</v>
      </c>
      <c r="G111" s="111">
        <v>0</v>
      </c>
      <c r="H111" s="111">
        <v>0</v>
      </c>
      <c r="I111" s="112">
        <v>0</v>
      </c>
      <c r="J111" s="113">
        <v>0</v>
      </c>
      <c r="K111" s="113">
        <v>0</v>
      </c>
      <c r="L111" s="113">
        <v>0</v>
      </c>
      <c r="M111" s="113">
        <v>0</v>
      </c>
      <c r="N111" s="113">
        <v>0</v>
      </c>
      <c r="O111" s="113">
        <v>0</v>
      </c>
      <c r="P111" s="114">
        <v>42735</v>
      </c>
      <c r="Q111" s="115">
        <v>376</v>
      </c>
      <c r="R111" s="116">
        <v>12401.45</v>
      </c>
      <c r="S111" s="109"/>
      <c r="T111" s="117">
        <f t="shared" ref="T111" si="36">+R111</f>
        <v>12401.45</v>
      </c>
      <c r="U111" s="118">
        <f t="shared" si="31"/>
        <v>12401.45</v>
      </c>
      <c r="V111" s="119">
        <f t="shared" si="32"/>
        <v>0</v>
      </c>
      <c r="W111" s="116">
        <f t="shared" si="33"/>
        <v>12401.45</v>
      </c>
      <c r="X111" s="109"/>
      <c r="Y111" s="121" t="s">
        <v>1411</v>
      </c>
      <c r="Z111" s="109"/>
    </row>
    <row r="112" spans="1:26">
      <c r="A112" s="6">
        <v>103</v>
      </c>
      <c r="B112" s="109" t="s">
        <v>1398</v>
      </c>
      <c r="C112" s="109" t="s">
        <v>1487</v>
      </c>
      <c r="D112" s="110">
        <v>6695.93</v>
      </c>
      <c r="E112" s="111">
        <v>0</v>
      </c>
      <c r="F112" s="111">
        <v>104622.8</v>
      </c>
      <c r="G112" s="111">
        <v>0</v>
      </c>
      <c r="H112" s="111">
        <v>-0.67</v>
      </c>
      <c r="I112" s="112">
        <v>0</v>
      </c>
      <c r="J112" s="113">
        <v>0</v>
      </c>
      <c r="K112" s="113">
        <v>0</v>
      </c>
      <c r="L112" s="113">
        <v>0</v>
      </c>
      <c r="M112" s="113">
        <v>0</v>
      </c>
      <c r="N112" s="113">
        <v>0</v>
      </c>
      <c r="O112" s="113">
        <v>0</v>
      </c>
      <c r="P112" s="114">
        <v>42735</v>
      </c>
      <c r="Q112" s="115">
        <v>376</v>
      </c>
      <c r="R112" s="116">
        <v>111318.06</v>
      </c>
      <c r="S112" s="109"/>
      <c r="T112" s="117">
        <f>+R112</f>
        <v>111318.06</v>
      </c>
      <c r="U112" s="118">
        <f t="shared" si="31"/>
        <v>111318.06000000001</v>
      </c>
      <c r="V112" s="119">
        <f t="shared" si="32"/>
        <v>0</v>
      </c>
      <c r="W112" s="116">
        <f t="shared" si="33"/>
        <v>111318.06000000001</v>
      </c>
      <c r="X112" s="117">
        <f>+T112</f>
        <v>111318.06</v>
      </c>
      <c r="Y112" s="121">
        <v>32</v>
      </c>
      <c r="Z112" s="109"/>
    </row>
    <row r="113" spans="1:26">
      <c r="A113" s="6">
        <v>104</v>
      </c>
      <c r="B113" s="109" t="s">
        <v>1398</v>
      </c>
      <c r="C113" s="109" t="s">
        <v>1488</v>
      </c>
      <c r="D113" s="110">
        <v>35.25</v>
      </c>
      <c r="E113" s="111">
        <v>45802.37</v>
      </c>
      <c r="F113" s="111">
        <v>13110.08</v>
      </c>
      <c r="G113" s="111">
        <v>51034.270000000004</v>
      </c>
      <c r="H113" s="111">
        <v>85.33</v>
      </c>
      <c r="I113" s="112">
        <v>0</v>
      </c>
      <c r="J113" s="113">
        <v>0</v>
      </c>
      <c r="K113" s="113">
        <v>0</v>
      </c>
      <c r="L113" s="113">
        <v>0</v>
      </c>
      <c r="M113" s="113">
        <v>0</v>
      </c>
      <c r="N113" s="113">
        <v>0</v>
      </c>
      <c r="O113" s="113">
        <v>0</v>
      </c>
      <c r="P113" s="114">
        <v>42917</v>
      </c>
      <c r="Q113" s="115">
        <v>376</v>
      </c>
      <c r="R113" s="116">
        <v>110067.3</v>
      </c>
      <c r="S113" s="109"/>
      <c r="T113" s="117">
        <f>+R113</f>
        <v>110067.3</v>
      </c>
      <c r="U113" s="118">
        <f t="shared" si="31"/>
        <v>110067.3</v>
      </c>
      <c r="V113" s="119">
        <f t="shared" si="32"/>
        <v>0</v>
      </c>
      <c r="W113" s="116">
        <f t="shared" si="33"/>
        <v>110067.3</v>
      </c>
      <c r="X113" s="117">
        <f t="shared" ref="X113" si="37">+T113</f>
        <v>110067.3</v>
      </c>
      <c r="Y113" s="121">
        <v>33</v>
      </c>
      <c r="Z113" s="109"/>
    </row>
    <row r="114" spans="1:26">
      <c r="A114" s="6">
        <v>105</v>
      </c>
      <c r="B114" s="109" t="s">
        <v>1398</v>
      </c>
      <c r="C114" s="109" t="s">
        <v>1489</v>
      </c>
      <c r="D114" s="110">
        <v>0</v>
      </c>
      <c r="E114" s="111">
        <v>0</v>
      </c>
      <c r="F114" s="111">
        <v>0</v>
      </c>
      <c r="G114" s="111">
        <v>0</v>
      </c>
      <c r="H114" s="111">
        <v>0</v>
      </c>
      <c r="I114" s="112">
        <v>0</v>
      </c>
      <c r="J114" s="113">
        <v>0</v>
      </c>
      <c r="K114" s="113">
        <v>193529.7</v>
      </c>
      <c r="L114" s="113">
        <v>1067.31</v>
      </c>
      <c r="M114" s="113">
        <v>1073.2</v>
      </c>
      <c r="N114" s="113">
        <v>1079.1300000000001</v>
      </c>
      <c r="O114" s="113">
        <v>1085.07</v>
      </c>
      <c r="P114" s="114">
        <v>43100</v>
      </c>
      <c r="Q114" s="115">
        <v>376</v>
      </c>
      <c r="R114" s="116">
        <v>197834.41</v>
      </c>
      <c r="S114" s="109"/>
      <c r="T114" s="117">
        <f t="shared" ref="T114:T120" si="38">+R114</f>
        <v>197834.41</v>
      </c>
      <c r="U114" s="118">
        <f t="shared" si="31"/>
        <v>0</v>
      </c>
      <c r="V114" s="119">
        <f t="shared" si="32"/>
        <v>197834.41000000003</v>
      </c>
      <c r="W114" s="116">
        <f t="shared" si="33"/>
        <v>197834.41000000003</v>
      </c>
      <c r="X114" s="120">
        <f>+T114</f>
        <v>197834.41</v>
      </c>
      <c r="Y114" s="121">
        <v>34</v>
      </c>
      <c r="Z114" s="109"/>
    </row>
    <row r="115" spans="1:26">
      <c r="A115" s="6">
        <v>106</v>
      </c>
      <c r="B115" s="109" t="s">
        <v>1398</v>
      </c>
      <c r="C115" s="109" t="s">
        <v>1490</v>
      </c>
      <c r="D115" s="110">
        <v>0</v>
      </c>
      <c r="E115" s="111">
        <v>0</v>
      </c>
      <c r="F115" s="111">
        <v>0</v>
      </c>
      <c r="G115" s="111">
        <v>27933.95</v>
      </c>
      <c r="H115" s="111">
        <v>86874.77</v>
      </c>
      <c r="I115" s="112">
        <v>42247.22</v>
      </c>
      <c r="J115" s="113">
        <v>23634.36</v>
      </c>
      <c r="K115" s="113">
        <v>41473.31</v>
      </c>
      <c r="L115" s="113">
        <v>42334.48</v>
      </c>
      <c r="M115" s="113">
        <v>254438.71</v>
      </c>
      <c r="N115" s="113">
        <v>265841.93</v>
      </c>
      <c r="O115" s="113">
        <v>257252.9</v>
      </c>
      <c r="P115" s="114">
        <v>43100</v>
      </c>
      <c r="Q115" s="115">
        <v>376</v>
      </c>
      <c r="R115" s="116">
        <v>1042031.63</v>
      </c>
      <c r="S115" s="109"/>
      <c r="T115" s="117">
        <f t="shared" si="38"/>
        <v>1042031.63</v>
      </c>
      <c r="U115" s="118">
        <f t="shared" si="31"/>
        <v>157055.94</v>
      </c>
      <c r="V115" s="119">
        <f t="shared" si="32"/>
        <v>884975.69000000006</v>
      </c>
      <c r="W115" s="116">
        <f t="shared" si="33"/>
        <v>1042031.6300000001</v>
      </c>
      <c r="X115" s="117">
        <f>+T115</f>
        <v>1042031.63</v>
      </c>
      <c r="Y115" s="121">
        <v>34</v>
      </c>
      <c r="Z115" s="109"/>
    </row>
    <row r="116" spans="1:26">
      <c r="A116" s="6">
        <v>107</v>
      </c>
      <c r="B116" s="109" t="s">
        <v>1398</v>
      </c>
      <c r="C116" s="109" t="s">
        <v>1491</v>
      </c>
      <c r="D116" s="110">
        <v>276578.96000000002</v>
      </c>
      <c r="E116" s="111">
        <v>95544.89</v>
      </c>
      <c r="F116" s="111">
        <v>108569.42</v>
      </c>
      <c r="G116" s="111">
        <v>748.01</v>
      </c>
      <c r="H116" s="111">
        <v>14502.69</v>
      </c>
      <c r="I116" s="112">
        <v>0</v>
      </c>
      <c r="J116" s="113">
        <v>0</v>
      </c>
      <c r="K116" s="113">
        <v>0</v>
      </c>
      <c r="L116" s="113">
        <v>0</v>
      </c>
      <c r="M116" s="113">
        <v>0</v>
      </c>
      <c r="N116" s="113">
        <v>0</v>
      </c>
      <c r="O116" s="113">
        <v>0</v>
      </c>
      <c r="P116" s="114">
        <v>42795</v>
      </c>
      <c r="Q116" s="115">
        <v>378</v>
      </c>
      <c r="R116" s="116">
        <v>495943.97000000003</v>
      </c>
      <c r="S116" s="109"/>
      <c r="T116" s="117">
        <f t="shared" si="38"/>
        <v>495943.97000000003</v>
      </c>
      <c r="U116" s="118">
        <f t="shared" si="31"/>
        <v>495943.97000000003</v>
      </c>
      <c r="V116" s="119">
        <f t="shared" si="32"/>
        <v>0</v>
      </c>
      <c r="W116" s="116">
        <f t="shared" si="33"/>
        <v>495943.97000000003</v>
      </c>
      <c r="X116" s="117"/>
      <c r="Y116" s="121" t="s">
        <v>1411</v>
      </c>
      <c r="Z116" s="109"/>
    </row>
    <row r="117" spans="1:26">
      <c r="A117" s="6">
        <v>108</v>
      </c>
      <c r="B117" s="109" t="s">
        <v>1398</v>
      </c>
      <c r="C117" s="109" t="s">
        <v>1492</v>
      </c>
      <c r="D117" s="110">
        <v>0</v>
      </c>
      <c r="E117" s="111">
        <v>0</v>
      </c>
      <c r="F117" s="111">
        <v>0</v>
      </c>
      <c r="G117" s="111">
        <v>0</v>
      </c>
      <c r="H117" s="111">
        <v>15068.23</v>
      </c>
      <c r="I117" s="112">
        <v>83.100000000000009</v>
      </c>
      <c r="J117" s="113">
        <v>83.56</v>
      </c>
      <c r="K117" s="113">
        <v>84.02</v>
      </c>
      <c r="L117" s="113">
        <v>84.48</v>
      </c>
      <c r="M117" s="113">
        <v>84.95</v>
      </c>
      <c r="N117" s="113">
        <v>0</v>
      </c>
      <c r="O117" s="113">
        <v>0</v>
      </c>
      <c r="P117" s="114">
        <v>43029</v>
      </c>
      <c r="Q117" s="115">
        <v>376</v>
      </c>
      <c r="R117" s="116">
        <v>15488.34</v>
      </c>
      <c r="S117" s="109"/>
      <c r="T117" s="117">
        <f t="shared" si="38"/>
        <v>15488.34</v>
      </c>
      <c r="U117" s="118">
        <f t="shared" si="31"/>
        <v>15151.33</v>
      </c>
      <c r="V117" s="119">
        <f t="shared" si="32"/>
        <v>337.01</v>
      </c>
      <c r="W117" s="116">
        <f t="shared" si="33"/>
        <v>15488.34</v>
      </c>
      <c r="X117" s="109"/>
      <c r="Y117" s="121" t="s">
        <v>1411</v>
      </c>
      <c r="Z117" s="109"/>
    </row>
    <row r="118" spans="1:26">
      <c r="A118" s="6">
        <v>109</v>
      </c>
      <c r="B118" s="109" t="s">
        <v>1398</v>
      </c>
      <c r="C118" s="109" t="s">
        <v>1493</v>
      </c>
      <c r="D118" s="110">
        <v>93.37</v>
      </c>
      <c r="E118" s="111">
        <v>85441.38</v>
      </c>
      <c r="F118" s="111">
        <v>1142.54</v>
      </c>
      <c r="G118" s="111">
        <v>123455.44</v>
      </c>
      <c r="H118" s="111">
        <v>28808.9</v>
      </c>
      <c r="I118" s="112">
        <v>0</v>
      </c>
      <c r="J118" s="113">
        <v>0</v>
      </c>
      <c r="K118" s="113">
        <v>0</v>
      </c>
      <c r="L118" s="113">
        <v>0</v>
      </c>
      <c r="M118" s="113">
        <v>0</v>
      </c>
      <c r="N118" s="113">
        <v>0</v>
      </c>
      <c r="O118" s="113">
        <v>0</v>
      </c>
      <c r="P118" s="114">
        <v>42916</v>
      </c>
      <c r="Q118" s="115">
        <v>376</v>
      </c>
      <c r="R118" s="116">
        <v>238941.63</v>
      </c>
      <c r="S118" s="109"/>
      <c r="T118" s="117">
        <f t="shared" si="38"/>
        <v>238941.63</v>
      </c>
      <c r="U118" s="118">
        <f t="shared" si="31"/>
        <v>238941.62999999998</v>
      </c>
      <c r="V118" s="119">
        <f t="shared" si="32"/>
        <v>0</v>
      </c>
      <c r="W118" s="116">
        <f t="shared" si="33"/>
        <v>238941.62999999998</v>
      </c>
      <c r="X118" s="117">
        <f t="shared" ref="X118:X122" si="39">+T118</f>
        <v>238941.63</v>
      </c>
      <c r="Y118" s="121">
        <v>2</v>
      </c>
      <c r="Z118" s="109"/>
    </row>
    <row r="119" spans="1:26">
      <c r="A119" s="6">
        <v>110</v>
      </c>
      <c r="B119" s="109" t="s">
        <v>1398</v>
      </c>
      <c r="C119" s="109" t="s">
        <v>1494</v>
      </c>
      <c r="D119" s="110">
        <v>855.16</v>
      </c>
      <c r="E119" s="111">
        <v>3280.9</v>
      </c>
      <c r="F119" s="111">
        <v>20012.48</v>
      </c>
      <c r="G119" s="111">
        <v>2926.28</v>
      </c>
      <c r="H119" s="111">
        <v>0</v>
      </c>
      <c r="I119" s="112">
        <v>0</v>
      </c>
      <c r="J119" s="113">
        <v>0</v>
      </c>
      <c r="K119" s="113">
        <v>0</v>
      </c>
      <c r="L119" s="113">
        <v>0</v>
      </c>
      <c r="M119" s="113">
        <v>0</v>
      </c>
      <c r="N119" s="113">
        <v>0</v>
      </c>
      <c r="O119" s="113">
        <v>0</v>
      </c>
      <c r="P119" s="114">
        <v>42719</v>
      </c>
      <c r="Q119" s="115">
        <v>378</v>
      </c>
      <c r="R119" s="116">
        <v>27074.82</v>
      </c>
      <c r="S119" s="109"/>
      <c r="T119" s="117">
        <f t="shared" si="38"/>
        <v>27074.82</v>
      </c>
      <c r="U119" s="118">
        <f t="shared" si="31"/>
        <v>27074.82</v>
      </c>
      <c r="V119" s="119">
        <f t="shared" si="32"/>
        <v>0</v>
      </c>
      <c r="W119" s="116">
        <f t="shared" si="33"/>
        <v>27074.82</v>
      </c>
      <c r="X119" s="117"/>
      <c r="Y119" s="121" t="s">
        <v>1411</v>
      </c>
      <c r="Z119" s="109"/>
    </row>
    <row r="120" spans="1:26">
      <c r="A120" s="6">
        <v>111</v>
      </c>
      <c r="B120" s="109" t="s">
        <v>1398</v>
      </c>
      <c r="C120" s="109" t="s">
        <v>1495</v>
      </c>
      <c r="D120" s="110">
        <v>0</v>
      </c>
      <c r="E120" s="111">
        <v>0</v>
      </c>
      <c r="F120" s="111">
        <v>0</v>
      </c>
      <c r="G120" s="111">
        <v>0</v>
      </c>
      <c r="H120" s="111">
        <v>0</v>
      </c>
      <c r="I120" s="112">
        <v>0</v>
      </c>
      <c r="J120" s="113">
        <v>0</v>
      </c>
      <c r="K120" s="113">
        <v>4427.1500000000005</v>
      </c>
      <c r="L120" s="113">
        <v>75285.97</v>
      </c>
      <c r="M120" s="113">
        <v>9293.91</v>
      </c>
      <c r="N120" s="113">
        <v>490.87</v>
      </c>
      <c r="O120" s="113">
        <v>493.58</v>
      </c>
      <c r="P120" s="115"/>
      <c r="Q120" s="115"/>
      <c r="R120" s="116">
        <v>89991.48</v>
      </c>
      <c r="S120" s="109"/>
      <c r="T120" s="117">
        <f t="shared" si="38"/>
        <v>89991.48</v>
      </c>
      <c r="U120" s="118">
        <f t="shared" si="31"/>
        <v>0</v>
      </c>
      <c r="V120" s="119">
        <f t="shared" si="32"/>
        <v>89991.48</v>
      </c>
      <c r="W120" s="116">
        <f t="shared" si="33"/>
        <v>89991.48</v>
      </c>
      <c r="X120" s="117">
        <f t="shared" si="39"/>
        <v>89991.48</v>
      </c>
      <c r="Y120" s="121">
        <v>28</v>
      </c>
      <c r="Z120" s="109"/>
    </row>
    <row r="121" spans="1:26">
      <c r="A121" s="6">
        <v>112</v>
      </c>
      <c r="B121" s="109" t="s">
        <v>1398</v>
      </c>
      <c r="C121" s="109" t="s">
        <v>1496</v>
      </c>
      <c r="D121" s="110">
        <v>0</v>
      </c>
      <c r="E121" s="111">
        <v>0</v>
      </c>
      <c r="F121" s="111">
        <v>0</v>
      </c>
      <c r="G121" s="111">
        <v>0</v>
      </c>
      <c r="H121" s="111">
        <v>0</v>
      </c>
      <c r="I121" s="112">
        <v>73.960000000000008</v>
      </c>
      <c r="J121" s="113">
        <v>8854.7100000000009</v>
      </c>
      <c r="K121" s="113">
        <v>49.24</v>
      </c>
      <c r="L121" s="113">
        <v>0</v>
      </c>
      <c r="M121" s="113">
        <v>0</v>
      </c>
      <c r="N121" s="113">
        <v>0</v>
      </c>
      <c r="O121" s="113">
        <v>0</v>
      </c>
      <c r="P121" s="115"/>
      <c r="Q121" s="115"/>
      <c r="R121" s="116">
        <v>8977.91</v>
      </c>
      <c r="S121" s="109"/>
      <c r="T121" s="117"/>
      <c r="U121" s="118">
        <f t="shared" si="31"/>
        <v>73.960000000000008</v>
      </c>
      <c r="V121" s="119">
        <f t="shared" si="32"/>
        <v>8903.9500000000007</v>
      </c>
      <c r="W121" s="116">
        <f t="shared" si="33"/>
        <v>8977.91</v>
      </c>
      <c r="X121" s="109"/>
      <c r="Y121" s="121"/>
      <c r="Z121" s="109"/>
    </row>
    <row r="122" spans="1:26">
      <c r="A122" s="6">
        <v>113</v>
      </c>
      <c r="B122" s="109" t="s">
        <v>1398</v>
      </c>
      <c r="C122" s="109" t="s">
        <v>1497</v>
      </c>
      <c r="D122" s="110">
        <v>0</v>
      </c>
      <c r="E122" s="111">
        <v>0</v>
      </c>
      <c r="F122" s="111">
        <v>0</v>
      </c>
      <c r="G122" s="111">
        <v>0</v>
      </c>
      <c r="H122" s="111">
        <v>0</v>
      </c>
      <c r="I122" s="112">
        <v>0</v>
      </c>
      <c r="J122" s="113">
        <v>0</v>
      </c>
      <c r="K122" s="113">
        <v>4427.1500000000005</v>
      </c>
      <c r="L122" s="113">
        <v>75285.97</v>
      </c>
      <c r="M122" s="113">
        <v>9293.91</v>
      </c>
      <c r="N122" s="113">
        <v>490.87</v>
      </c>
      <c r="O122" s="113">
        <v>493.58</v>
      </c>
      <c r="P122" s="115"/>
      <c r="Q122" s="115"/>
      <c r="R122" s="116">
        <v>89991.48</v>
      </c>
      <c r="S122" s="109"/>
      <c r="T122" s="117">
        <f>+R122</f>
        <v>89991.48</v>
      </c>
      <c r="U122" s="118">
        <f t="shared" si="31"/>
        <v>0</v>
      </c>
      <c r="V122" s="119">
        <f t="shared" si="32"/>
        <v>89991.48</v>
      </c>
      <c r="W122" s="116">
        <f t="shared" si="33"/>
        <v>89991.48</v>
      </c>
      <c r="X122" s="117">
        <f t="shared" si="39"/>
        <v>89991.48</v>
      </c>
      <c r="Y122" s="121">
        <v>29</v>
      </c>
      <c r="Z122" s="109"/>
    </row>
    <row r="123" spans="1:26">
      <c r="A123" s="6">
        <v>114</v>
      </c>
      <c r="B123" s="109" t="s">
        <v>1398</v>
      </c>
      <c r="C123" s="109" t="s">
        <v>1498</v>
      </c>
      <c r="D123" s="110">
        <v>0</v>
      </c>
      <c r="E123" s="111">
        <v>0</v>
      </c>
      <c r="F123" s="111">
        <v>0</v>
      </c>
      <c r="G123" s="111">
        <v>0</v>
      </c>
      <c r="H123" s="111">
        <v>0</v>
      </c>
      <c r="I123" s="112">
        <v>0</v>
      </c>
      <c r="J123" s="113">
        <v>8854.3000000000011</v>
      </c>
      <c r="K123" s="113">
        <v>48.83</v>
      </c>
      <c r="L123" s="113">
        <v>0</v>
      </c>
      <c r="M123" s="113">
        <v>0</v>
      </c>
      <c r="N123" s="113">
        <v>0</v>
      </c>
      <c r="O123" s="113">
        <v>0</v>
      </c>
      <c r="P123" s="115"/>
      <c r="Q123" s="115"/>
      <c r="R123" s="116">
        <v>8903.130000000001</v>
      </c>
      <c r="S123" s="109"/>
      <c r="T123" s="117"/>
      <c r="U123" s="118">
        <f t="shared" si="31"/>
        <v>0</v>
      </c>
      <c r="V123" s="119">
        <f t="shared" si="32"/>
        <v>8903.130000000001</v>
      </c>
      <c r="W123" s="116">
        <f t="shared" si="33"/>
        <v>8903.130000000001</v>
      </c>
      <c r="X123" s="109"/>
      <c r="Y123" s="121"/>
      <c r="Z123" s="109"/>
    </row>
    <row r="124" spans="1:26">
      <c r="A124" s="6">
        <v>115</v>
      </c>
      <c r="B124" s="109" t="s">
        <v>1398</v>
      </c>
      <c r="C124" s="109" t="s">
        <v>1499</v>
      </c>
      <c r="D124" s="110">
        <v>22.52</v>
      </c>
      <c r="E124" s="111">
        <v>22.67</v>
      </c>
      <c r="F124" s="111">
        <v>22.8</v>
      </c>
      <c r="G124" s="111">
        <v>20.91</v>
      </c>
      <c r="H124" s="111">
        <v>86575.69</v>
      </c>
      <c r="I124" s="112">
        <v>0</v>
      </c>
      <c r="J124" s="113">
        <v>0</v>
      </c>
      <c r="K124" s="113">
        <v>0</v>
      </c>
      <c r="L124" s="113">
        <v>0</v>
      </c>
      <c r="M124" s="113">
        <v>0</v>
      </c>
      <c r="N124" s="113">
        <v>0</v>
      </c>
      <c r="O124" s="113">
        <v>0</v>
      </c>
      <c r="P124" s="115"/>
      <c r="Q124" s="115"/>
      <c r="R124" s="116">
        <v>86664.59</v>
      </c>
      <c r="S124" s="109"/>
      <c r="T124" s="117"/>
      <c r="U124" s="118">
        <f t="shared" si="31"/>
        <v>86664.59</v>
      </c>
      <c r="V124" s="119">
        <f t="shared" si="32"/>
        <v>0</v>
      </c>
      <c r="W124" s="116">
        <f t="shared" si="33"/>
        <v>86664.59</v>
      </c>
      <c r="X124" s="109"/>
      <c r="Y124" s="121"/>
      <c r="Z124" s="109"/>
    </row>
    <row r="125" spans="1:26">
      <c r="A125" s="6">
        <v>116</v>
      </c>
      <c r="B125" s="109" t="s">
        <v>1398</v>
      </c>
      <c r="C125" s="109" t="s">
        <v>1500</v>
      </c>
      <c r="D125" s="110">
        <v>3099.37</v>
      </c>
      <c r="E125" s="111">
        <v>8939.86</v>
      </c>
      <c r="F125" s="111">
        <v>1980.13</v>
      </c>
      <c r="G125" s="111">
        <v>0</v>
      </c>
      <c r="H125" s="111">
        <v>0</v>
      </c>
      <c r="I125" s="112">
        <v>0</v>
      </c>
      <c r="J125" s="113">
        <v>0</v>
      </c>
      <c r="K125" s="113">
        <v>0</v>
      </c>
      <c r="L125" s="113">
        <v>0</v>
      </c>
      <c r="M125" s="113">
        <v>0</v>
      </c>
      <c r="N125" s="113">
        <v>0</v>
      </c>
      <c r="O125" s="113">
        <v>0</v>
      </c>
      <c r="P125" s="114">
        <v>42765</v>
      </c>
      <c r="Q125" s="115">
        <v>376</v>
      </c>
      <c r="R125" s="116">
        <v>14019.36</v>
      </c>
      <c r="S125" s="109"/>
      <c r="T125" s="117">
        <f t="shared" ref="T125:T128" si="40">+R125</f>
        <v>14019.36</v>
      </c>
      <c r="U125" s="118">
        <f t="shared" si="31"/>
        <v>14019.36</v>
      </c>
      <c r="V125" s="119">
        <f t="shared" si="32"/>
        <v>0</v>
      </c>
      <c r="W125" s="116">
        <f t="shared" si="33"/>
        <v>14019.36</v>
      </c>
      <c r="X125" s="117">
        <f t="shared" ref="X125:X127" si="41">+T125</f>
        <v>14019.36</v>
      </c>
      <c r="Y125" s="121">
        <v>6</v>
      </c>
      <c r="Z125" s="109"/>
    </row>
    <row r="126" spans="1:26">
      <c r="A126" s="6">
        <v>117</v>
      </c>
      <c r="B126" s="109" t="s">
        <v>1398</v>
      </c>
      <c r="C126" s="109" t="s">
        <v>1501</v>
      </c>
      <c r="D126" s="110">
        <v>0</v>
      </c>
      <c r="E126" s="111">
        <v>267.13</v>
      </c>
      <c r="F126" s="111">
        <v>11872.72</v>
      </c>
      <c r="G126" s="111">
        <v>0</v>
      </c>
      <c r="H126" s="111">
        <v>0</v>
      </c>
      <c r="I126" s="112">
        <v>0</v>
      </c>
      <c r="J126" s="113">
        <v>0</v>
      </c>
      <c r="K126" s="113">
        <v>0</v>
      </c>
      <c r="L126" s="113">
        <v>0</v>
      </c>
      <c r="M126" s="113">
        <v>0</v>
      </c>
      <c r="N126" s="113">
        <v>0</v>
      </c>
      <c r="O126" s="113">
        <v>0</v>
      </c>
      <c r="P126" s="114">
        <v>43100</v>
      </c>
      <c r="Q126" s="115">
        <v>376</v>
      </c>
      <c r="R126" s="116">
        <v>12139.85</v>
      </c>
      <c r="S126" s="109"/>
      <c r="T126" s="117">
        <f t="shared" si="40"/>
        <v>12139.85</v>
      </c>
      <c r="U126" s="118">
        <f t="shared" si="31"/>
        <v>12139.849999999999</v>
      </c>
      <c r="V126" s="119">
        <f t="shared" si="32"/>
        <v>0</v>
      </c>
      <c r="W126" s="116">
        <f t="shared" si="33"/>
        <v>12139.849999999999</v>
      </c>
      <c r="X126" s="117"/>
      <c r="Y126" s="121" t="s">
        <v>1411</v>
      </c>
      <c r="Z126" s="109"/>
    </row>
    <row r="127" spans="1:26">
      <c r="A127" s="887">
        <v>118</v>
      </c>
      <c r="B127" s="888" t="s">
        <v>1398</v>
      </c>
      <c r="C127" s="888" t="s">
        <v>1502</v>
      </c>
      <c r="D127" s="110">
        <v>5883.75</v>
      </c>
      <c r="E127" s="111">
        <v>1428.1000000000001</v>
      </c>
      <c r="F127" s="111">
        <v>42879.69</v>
      </c>
      <c r="G127" s="111">
        <v>292918.66000000003</v>
      </c>
      <c r="H127" s="111">
        <v>387922.7</v>
      </c>
      <c r="I127" s="112">
        <v>158928.14000000001</v>
      </c>
      <c r="J127" s="113">
        <v>637734.85</v>
      </c>
      <c r="K127" s="113">
        <v>1147211.96</v>
      </c>
      <c r="L127" s="113">
        <v>1912478.83</v>
      </c>
      <c r="M127" s="113">
        <v>341901.16000000003</v>
      </c>
      <c r="N127" s="113">
        <v>0</v>
      </c>
      <c r="O127" s="113">
        <v>0</v>
      </c>
      <c r="P127" s="889">
        <v>43039</v>
      </c>
      <c r="Q127" s="890">
        <v>376</v>
      </c>
      <c r="R127" s="128">
        <v>4929287.84</v>
      </c>
      <c r="S127" s="888"/>
      <c r="T127" s="891">
        <f t="shared" si="40"/>
        <v>4929287.84</v>
      </c>
      <c r="U127" s="118">
        <f t="shared" si="31"/>
        <v>889961.04</v>
      </c>
      <c r="V127" s="119">
        <f t="shared" si="32"/>
        <v>4039326.8000000003</v>
      </c>
      <c r="W127" s="116">
        <f t="shared" si="33"/>
        <v>4929287.84</v>
      </c>
      <c r="X127" s="891">
        <f t="shared" si="41"/>
        <v>4929287.84</v>
      </c>
      <c r="Y127" s="892">
        <v>14</v>
      </c>
      <c r="Z127" s="888" t="s">
        <v>2191</v>
      </c>
    </row>
    <row r="128" spans="1:26">
      <c r="A128" s="6">
        <v>119</v>
      </c>
      <c r="B128" s="109" t="s">
        <v>1398</v>
      </c>
      <c r="C128" s="109" t="s">
        <v>1503</v>
      </c>
      <c r="D128" s="110">
        <v>0</v>
      </c>
      <c r="E128" s="111">
        <v>14709.56</v>
      </c>
      <c r="F128" s="111">
        <v>1390.1200000000001</v>
      </c>
      <c r="G128" s="111">
        <v>0</v>
      </c>
      <c r="H128" s="111">
        <v>0</v>
      </c>
      <c r="I128" s="112">
        <v>1651.46</v>
      </c>
      <c r="J128" s="113">
        <v>0</v>
      </c>
      <c r="K128" s="113">
        <v>0</v>
      </c>
      <c r="L128" s="113">
        <v>0</v>
      </c>
      <c r="M128" s="113">
        <v>0</v>
      </c>
      <c r="N128" s="113">
        <v>0</v>
      </c>
      <c r="O128" s="113">
        <v>0</v>
      </c>
      <c r="P128" s="114">
        <v>42735</v>
      </c>
      <c r="Q128" s="115">
        <v>376</v>
      </c>
      <c r="R128" s="116">
        <v>17751.14</v>
      </c>
      <c r="S128" s="109"/>
      <c r="T128" s="117">
        <f t="shared" si="40"/>
        <v>17751.14</v>
      </c>
      <c r="U128" s="118">
        <f t="shared" si="31"/>
        <v>17751.14</v>
      </c>
      <c r="V128" s="119">
        <f t="shared" si="32"/>
        <v>0</v>
      </c>
      <c r="W128" s="116">
        <f t="shared" si="33"/>
        <v>17751.14</v>
      </c>
      <c r="X128" s="117"/>
      <c r="Y128" s="121" t="s">
        <v>1411</v>
      </c>
      <c r="Z128" s="109"/>
    </row>
    <row r="129" spans="1:26">
      <c r="A129" s="6">
        <v>120</v>
      </c>
      <c r="B129" s="109" t="s">
        <v>1398</v>
      </c>
      <c r="C129" s="109" t="s">
        <v>1504</v>
      </c>
      <c r="D129" s="110">
        <v>0</v>
      </c>
      <c r="E129" s="111">
        <v>0</v>
      </c>
      <c r="F129" s="111">
        <v>0</v>
      </c>
      <c r="G129" s="111">
        <v>556.66999999999996</v>
      </c>
      <c r="H129" s="111">
        <v>10839.68</v>
      </c>
      <c r="I129" s="112">
        <v>37053.03</v>
      </c>
      <c r="J129" s="113">
        <v>0</v>
      </c>
      <c r="K129" s="113">
        <v>0</v>
      </c>
      <c r="L129" s="113">
        <v>0</v>
      </c>
      <c r="M129" s="113">
        <v>0</v>
      </c>
      <c r="N129" s="113">
        <v>0</v>
      </c>
      <c r="O129" s="113">
        <v>0</v>
      </c>
      <c r="P129" s="114">
        <v>42725</v>
      </c>
      <c r="Q129" s="115">
        <v>378</v>
      </c>
      <c r="R129" s="116">
        <v>48449.38</v>
      </c>
      <c r="S129" s="109"/>
      <c r="T129" s="117"/>
      <c r="U129" s="118">
        <f t="shared" si="31"/>
        <v>48449.38</v>
      </c>
      <c r="V129" s="119">
        <f t="shared" si="32"/>
        <v>0</v>
      </c>
      <c r="W129" s="116">
        <f t="shared" si="33"/>
        <v>48449.38</v>
      </c>
      <c r="X129" s="109"/>
      <c r="Y129" s="121"/>
      <c r="Z129" s="109"/>
    </row>
    <row r="130" spans="1:26">
      <c r="A130" s="6">
        <v>121</v>
      </c>
      <c r="B130" s="109" t="s">
        <v>1398</v>
      </c>
      <c r="C130" s="109" t="s">
        <v>1505</v>
      </c>
      <c r="D130" s="110">
        <v>0</v>
      </c>
      <c r="E130" s="111">
        <v>0</v>
      </c>
      <c r="F130" s="111">
        <v>9652.64</v>
      </c>
      <c r="G130" s="111">
        <v>0</v>
      </c>
      <c r="H130" s="111">
        <v>24.11</v>
      </c>
      <c r="I130" s="112">
        <v>0</v>
      </c>
      <c r="J130" s="113">
        <v>0</v>
      </c>
      <c r="K130" s="113">
        <v>0</v>
      </c>
      <c r="L130" s="113">
        <v>0</v>
      </c>
      <c r="M130" s="113">
        <v>0</v>
      </c>
      <c r="N130" s="113">
        <v>0</v>
      </c>
      <c r="O130" s="113">
        <v>0</v>
      </c>
      <c r="P130" s="114">
        <v>42856</v>
      </c>
      <c r="Q130" s="115">
        <v>376</v>
      </c>
      <c r="R130" s="116">
        <v>9676.75</v>
      </c>
      <c r="S130" s="109"/>
      <c r="T130" s="117">
        <f>+R130</f>
        <v>9676.75</v>
      </c>
      <c r="U130" s="118">
        <f t="shared" si="31"/>
        <v>9676.75</v>
      </c>
      <c r="V130" s="119">
        <f t="shared" si="32"/>
        <v>0</v>
      </c>
      <c r="W130" s="116">
        <f t="shared" si="33"/>
        <v>9676.75</v>
      </c>
      <c r="X130" s="117"/>
      <c r="Y130" s="121" t="s">
        <v>1411</v>
      </c>
      <c r="Z130" s="109"/>
    </row>
    <row r="131" spans="1:26">
      <c r="A131" s="6">
        <v>122</v>
      </c>
      <c r="B131" s="109" t="s">
        <v>1398</v>
      </c>
      <c r="C131" s="109" t="s">
        <v>1506</v>
      </c>
      <c r="D131" s="110">
        <v>0</v>
      </c>
      <c r="E131" s="111">
        <v>0</v>
      </c>
      <c r="F131" s="111">
        <v>33580.559999999998</v>
      </c>
      <c r="G131" s="111">
        <v>0</v>
      </c>
      <c r="H131" s="111">
        <v>1138.4100000000001</v>
      </c>
      <c r="I131" s="112">
        <v>34937.629999999997</v>
      </c>
      <c r="J131" s="113">
        <v>0</v>
      </c>
      <c r="K131" s="113">
        <v>0</v>
      </c>
      <c r="L131" s="113">
        <v>0</v>
      </c>
      <c r="M131" s="113">
        <v>0</v>
      </c>
      <c r="N131" s="113">
        <v>0</v>
      </c>
      <c r="O131" s="113">
        <v>0</v>
      </c>
      <c r="P131" s="114">
        <v>43033</v>
      </c>
      <c r="Q131" s="115">
        <v>376</v>
      </c>
      <c r="R131" s="116">
        <v>69656.600000000006</v>
      </c>
      <c r="S131" s="109"/>
      <c r="T131" s="117"/>
      <c r="U131" s="118">
        <f t="shared" si="31"/>
        <v>69656.600000000006</v>
      </c>
      <c r="V131" s="119">
        <f t="shared" si="32"/>
        <v>0</v>
      </c>
      <c r="W131" s="116">
        <f t="shared" si="33"/>
        <v>69656.600000000006</v>
      </c>
      <c r="X131" s="109"/>
      <c r="Y131" s="121"/>
      <c r="Z131" s="109"/>
    </row>
    <row r="132" spans="1:26">
      <c r="A132" s="6">
        <v>123</v>
      </c>
      <c r="B132" s="109" t="s">
        <v>1398</v>
      </c>
      <c r="C132" s="109" t="s">
        <v>1507</v>
      </c>
      <c r="D132" s="110">
        <v>7055.21</v>
      </c>
      <c r="E132" s="111">
        <v>228.6</v>
      </c>
      <c r="F132" s="111">
        <v>1742.01</v>
      </c>
      <c r="G132" s="111">
        <v>219.28</v>
      </c>
      <c r="H132" s="111">
        <v>588.47</v>
      </c>
      <c r="I132" s="112">
        <v>69805.27</v>
      </c>
      <c r="J132" s="113">
        <v>608.71</v>
      </c>
      <c r="K132" s="113">
        <v>0</v>
      </c>
      <c r="L132" s="113">
        <v>0</v>
      </c>
      <c r="M132" s="113">
        <v>0</v>
      </c>
      <c r="N132" s="113">
        <v>0</v>
      </c>
      <c r="O132" s="113">
        <v>0</v>
      </c>
      <c r="P132" s="114">
        <v>42947</v>
      </c>
      <c r="Q132" s="115">
        <v>376</v>
      </c>
      <c r="R132" s="116">
        <v>80247.55</v>
      </c>
      <c r="S132" s="109"/>
      <c r="T132" s="117"/>
      <c r="U132" s="118">
        <f t="shared" si="31"/>
        <v>79638.84</v>
      </c>
      <c r="V132" s="119">
        <f t="shared" si="32"/>
        <v>608.71</v>
      </c>
      <c r="W132" s="116">
        <f t="shared" si="33"/>
        <v>80247.55</v>
      </c>
      <c r="X132" s="109"/>
      <c r="Y132" s="121"/>
      <c r="Z132" s="109"/>
    </row>
    <row r="133" spans="1:26">
      <c r="A133" s="6">
        <v>124</v>
      </c>
      <c r="B133" s="109" t="s">
        <v>1398</v>
      </c>
      <c r="C133" s="109" t="s">
        <v>1508</v>
      </c>
      <c r="D133" s="110">
        <v>1595.75</v>
      </c>
      <c r="E133" s="111">
        <v>11049.630000000001</v>
      </c>
      <c r="F133" s="111">
        <v>29107.5</v>
      </c>
      <c r="G133" s="111">
        <v>406.5</v>
      </c>
      <c r="H133" s="111">
        <v>1043.23</v>
      </c>
      <c r="I133" s="112">
        <v>0</v>
      </c>
      <c r="J133" s="113">
        <v>0</v>
      </c>
      <c r="K133" s="113">
        <v>0</v>
      </c>
      <c r="L133" s="113">
        <v>0</v>
      </c>
      <c r="M133" s="113">
        <v>0</v>
      </c>
      <c r="N133" s="113">
        <v>0</v>
      </c>
      <c r="O133" s="113">
        <v>0</v>
      </c>
      <c r="P133" s="114">
        <v>42734</v>
      </c>
      <c r="Q133" s="115">
        <v>376</v>
      </c>
      <c r="R133" s="116">
        <v>43202.61</v>
      </c>
      <c r="S133" s="109"/>
      <c r="T133" s="117">
        <f t="shared" ref="T133:T154" si="42">+R133</f>
        <v>43202.61</v>
      </c>
      <c r="U133" s="118">
        <f t="shared" si="31"/>
        <v>43202.610000000008</v>
      </c>
      <c r="V133" s="119">
        <f t="shared" si="32"/>
        <v>0</v>
      </c>
      <c r="W133" s="116">
        <f t="shared" si="33"/>
        <v>43202.610000000008</v>
      </c>
      <c r="X133" s="117"/>
      <c r="Y133" s="121" t="s">
        <v>1411</v>
      </c>
      <c r="Z133" s="109"/>
    </row>
    <row r="134" spans="1:26">
      <c r="A134" s="6">
        <v>125</v>
      </c>
      <c r="B134" s="109" t="s">
        <v>1398</v>
      </c>
      <c r="C134" s="109" t="s">
        <v>1509</v>
      </c>
      <c r="D134" s="110">
        <v>63428.54</v>
      </c>
      <c r="E134" s="111">
        <v>3712.31</v>
      </c>
      <c r="F134" s="111">
        <v>4666.18</v>
      </c>
      <c r="G134" s="111">
        <v>0</v>
      </c>
      <c r="H134" s="111">
        <v>0</v>
      </c>
      <c r="I134" s="112">
        <v>0</v>
      </c>
      <c r="J134" s="113">
        <v>0</v>
      </c>
      <c r="K134" s="113">
        <v>0</v>
      </c>
      <c r="L134" s="113">
        <v>0</v>
      </c>
      <c r="M134" s="113">
        <v>0</v>
      </c>
      <c r="N134" s="113">
        <v>0</v>
      </c>
      <c r="O134" s="113">
        <v>0</v>
      </c>
      <c r="P134" s="114">
        <v>42709</v>
      </c>
      <c r="Q134" s="115">
        <v>376</v>
      </c>
      <c r="R134" s="116">
        <v>71807.03</v>
      </c>
      <c r="S134" s="109"/>
      <c r="T134" s="117">
        <f t="shared" si="42"/>
        <v>71807.03</v>
      </c>
      <c r="U134" s="118">
        <f t="shared" si="31"/>
        <v>71807.03</v>
      </c>
      <c r="V134" s="119">
        <f t="shared" si="32"/>
        <v>0</v>
      </c>
      <c r="W134" s="116">
        <f t="shared" si="33"/>
        <v>71807.03</v>
      </c>
      <c r="X134" s="117"/>
      <c r="Y134" s="121" t="s">
        <v>1426</v>
      </c>
      <c r="Z134" s="109"/>
    </row>
    <row r="135" spans="1:26">
      <c r="A135" s="6">
        <v>126</v>
      </c>
      <c r="B135" s="109" t="s">
        <v>1398</v>
      </c>
      <c r="C135" s="109" t="s">
        <v>1629</v>
      </c>
      <c r="D135" s="110">
        <v>0</v>
      </c>
      <c r="E135" s="111">
        <v>0</v>
      </c>
      <c r="F135" s="111">
        <v>380.68</v>
      </c>
      <c r="G135" s="111">
        <v>554.25</v>
      </c>
      <c r="H135" s="111">
        <v>53887.96</v>
      </c>
      <c r="I135" s="112">
        <v>0</v>
      </c>
      <c r="J135" s="113">
        <v>0</v>
      </c>
      <c r="K135" s="113">
        <v>0</v>
      </c>
      <c r="L135" s="113">
        <v>0</v>
      </c>
      <c r="M135" s="113">
        <v>0</v>
      </c>
      <c r="N135" s="113">
        <v>0</v>
      </c>
      <c r="O135" s="113">
        <v>0</v>
      </c>
      <c r="P135" s="114">
        <v>42916</v>
      </c>
      <c r="Q135" s="115">
        <v>376</v>
      </c>
      <c r="R135" s="116">
        <v>54822.89</v>
      </c>
      <c r="S135" s="109"/>
      <c r="T135" s="117">
        <f t="shared" si="42"/>
        <v>54822.89</v>
      </c>
      <c r="U135" s="118">
        <f t="shared" si="31"/>
        <v>54822.89</v>
      </c>
      <c r="V135" s="119">
        <f t="shared" si="32"/>
        <v>0</v>
      </c>
      <c r="W135" s="116">
        <f t="shared" si="33"/>
        <v>54822.89</v>
      </c>
      <c r="X135" s="117"/>
      <c r="Y135" s="121" t="s">
        <v>1411</v>
      </c>
      <c r="Z135" s="109"/>
    </row>
    <row r="136" spans="1:26">
      <c r="A136" s="6">
        <v>127</v>
      </c>
      <c r="B136" s="109" t="s">
        <v>1398</v>
      </c>
      <c r="C136" s="109" t="s">
        <v>1510</v>
      </c>
      <c r="D136" s="110">
        <v>0</v>
      </c>
      <c r="E136" s="111">
        <v>0</v>
      </c>
      <c r="F136" s="111">
        <v>0</v>
      </c>
      <c r="G136" s="111">
        <v>0</v>
      </c>
      <c r="H136" s="111">
        <v>4634.41</v>
      </c>
      <c r="I136" s="112">
        <v>0</v>
      </c>
      <c r="J136" s="113">
        <v>0</v>
      </c>
      <c r="K136" s="113">
        <v>0</v>
      </c>
      <c r="L136" s="113">
        <v>0</v>
      </c>
      <c r="M136" s="113">
        <v>0</v>
      </c>
      <c r="N136" s="113">
        <v>0</v>
      </c>
      <c r="O136" s="113">
        <v>0</v>
      </c>
      <c r="P136" s="114">
        <v>42885</v>
      </c>
      <c r="Q136" s="115">
        <v>376</v>
      </c>
      <c r="R136" s="116">
        <v>4634.41</v>
      </c>
      <c r="S136" s="109"/>
      <c r="T136" s="117">
        <f t="shared" si="42"/>
        <v>4634.41</v>
      </c>
      <c r="U136" s="118">
        <f t="shared" si="31"/>
        <v>4634.41</v>
      </c>
      <c r="V136" s="119">
        <f t="shared" si="32"/>
        <v>0</v>
      </c>
      <c r="W136" s="116">
        <f t="shared" si="33"/>
        <v>4634.41</v>
      </c>
      <c r="X136" s="117"/>
      <c r="Y136" s="121" t="s">
        <v>1411</v>
      </c>
      <c r="Z136" s="109"/>
    </row>
    <row r="137" spans="1:26">
      <c r="A137" s="6">
        <v>128</v>
      </c>
      <c r="B137" s="109" t="s">
        <v>1398</v>
      </c>
      <c r="C137" s="109" t="s">
        <v>1511</v>
      </c>
      <c r="D137" s="110">
        <v>80684.53</v>
      </c>
      <c r="E137" s="111">
        <v>493.03000000000003</v>
      </c>
      <c r="F137" s="111">
        <v>-498</v>
      </c>
      <c r="G137" s="111">
        <v>816.75</v>
      </c>
      <c r="H137" s="111">
        <v>0</v>
      </c>
      <c r="I137" s="112">
        <v>33107.360000000001</v>
      </c>
      <c r="J137" s="113">
        <v>0</v>
      </c>
      <c r="K137" s="113">
        <v>0</v>
      </c>
      <c r="L137" s="113">
        <v>0</v>
      </c>
      <c r="M137" s="113">
        <v>0</v>
      </c>
      <c r="N137" s="113">
        <v>0</v>
      </c>
      <c r="O137" s="113">
        <v>0</v>
      </c>
      <c r="P137" s="114">
        <v>42766</v>
      </c>
      <c r="Q137" s="115">
        <v>376</v>
      </c>
      <c r="R137" s="116">
        <v>114603.67</v>
      </c>
      <c r="S137" s="109"/>
      <c r="T137" s="117">
        <f t="shared" si="42"/>
        <v>114603.67</v>
      </c>
      <c r="U137" s="118">
        <f t="shared" si="31"/>
        <v>114603.67</v>
      </c>
      <c r="V137" s="119">
        <f t="shared" si="32"/>
        <v>0</v>
      </c>
      <c r="W137" s="116">
        <f t="shared" si="33"/>
        <v>114603.67</v>
      </c>
      <c r="X137" s="120">
        <f t="shared" ref="X137:X138" si="43">+T137</f>
        <v>114603.67</v>
      </c>
      <c r="Y137" s="121">
        <v>54</v>
      </c>
      <c r="Z137" s="109"/>
    </row>
    <row r="138" spans="1:26">
      <c r="A138" s="6">
        <v>129</v>
      </c>
      <c r="B138" s="109" t="s">
        <v>1398</v>
      </c>
      <c r="C138" s="109" t="s">
        <v>1512</v>
      </c>
      <c r="D138" s="110">
        <v>6893.34</v>
      </c>
      <c r="E138" s="111">
        <v>0</v>
      </c>
      <c r="F138" s="111">
        <v>0</v>
      </c>
      <c r="G138" s="111">
        <v>0</v>
      </c>
      <c r="H138" s="111">
        <v>0</v>
      </c>
      <c r="I138" s="112">
        <v>0</v>
      </c>
      <c r="J138" s="113">
        <v>0</v>
      </c>
      <c r="K138" s="113">
        <v>0</v>
      </c>
      <c r="L138" s="113">
        <v>0</v>
      </c>
      <c r="M138" s="113">
        <v>0</v>
      </c>
      <c r="N138" s="113">
        <v>0</v>
      </c>
      <c r="O138" s="113">
        <v>59326.6</v>
      </c>
      <c r="P138" s="114">
        <v>42916</v>
      </c>
      <c r="Q138" s="115">
        <v>376</v>
      </c>
      <c r="R138" s="116">
        <v>66219.94</v>
      </c>
      <c r="S138" s="109"/>
      <c r="T138" s="117">
        <f t="shared" si="42"/>
        <v>66219.94</v>
      </c>
      <c r="U138" s="118">
        <f t="shared" si="31"/>
        <v>6893.34</v>
      </c>
      <c r="V138" s="119">
        <f t="shared" si="32"/>
        <v>59326.6</v>
      </c>
      <c r="W138" s="116">
        <f t="shared" si="33"/>
        <v>66219.94</v>
      </c>
      <c r="X138" s="117">
        <f t="shared" si="43"/>
        <v>66219.94</v>
      </c>
      <c r="Y138" s="121">
        <v>22</v>
      </c>
      <c r="Z138" s="109"/>
    </row>
    <row r="139" spans="1:26">
      <c r="A139" s="6">
        <v>130</v>
      </c>
      <c r="B139" s="109" t="s">
        <v>1398</v>
      </c>
      <c r="C139" s="109" t="s">
        <v>1513</v>
      </c>
      <c r="D139" s="110">
        <v>0</v>
      </c>
      <c r="E139" s="111">
        <v>0</v>
      </c>
      <c r="F139" s="111">
        <v>0</v>
      </c>
      <c r="G139" s="111">
        <v>4705.43</v>
      </c>
      <c r="H139" s="111">
        <v>79634.14</v>
      </c>
      <c r="I139" s="112">
        <v>0</v>
      </c>
      <c r="J139" s="113">
        <v>0</v>
      </c>
      <c r="K139" s="113">
        <v>0</v>
      </c>
      <c r="L139" s="113">
        <v>0</v>
      </c>
      <c r="M139" s="113">
        <v>0</v>
      </c>
      <c r="N139" s="113">
        <v>0</v>
      </c>
      <c r="O139" s="113">
        <v>0</v>
      </c>
      <c r="P139" s="115"/>
      <c r="Q139" s="115"/>
      <c r="R139" s="116">
        <v>84339.57</v>
      </c>
      <c r="S139" s="109"/>
      <c r="T139" s="117"/>
      <c r="U139" s="118">
        <f t="shared" si="31"/>
        <v>84339.57</v>
      </c>
      <c r="V139" s="119">
        <f t="shared" si="32"/>
        <v>0</v>
      </c>
      <c r="W139" s="116">
        <f t="shared" si="33"/>
        <v>84339.57</v>
      </c>
      <c r="X139" s="109"/>
      <c r="Y139" s="121"/>
      <c r="Z139" s="109"/>
    </row>
    <row r="140" spans="1:26">
      <c r="A140" s="6">
        <v>131</v>
      </c>
      <c r="B140" s="109" t="s">
        <v>1398</v>
      </c>
      <c r="C140" s="109" t="s">
        <v>1514</v>
      </c>
      <c r="D140" s="110">
        <v>0</v>
      </c>
      <c r="E140" s="111">
        <v>189.74</v>
      </c>
      <c r="F140" s="111">
        <v>7056.89</v>
      </c>
      <c r="G140" s="111">
        <v>50600.07</v>
      </c>
      <c r="H140" s="111">
        <v>319.02</v>
      </c>
      <c r="I140" s="112">
        <v>7142.78</v>
      </c>
      <c r="J140" s="113">
        <v>360.17</v>
      </c>
      <c r="K140" s="113">
        <v>362.16</v>
      </c>
      <c r="L140" s="113">
        <v>0</v>
      </c>
      <c r="M140" s="113">
        <v>0</v>
      </c>
      <c r="N140" s="113">
        <v>0</v>
      </c>
      <c r="O140" s="113">
        <v>0</v>
      </c>
      <c r="P140" s="114">
        <v>42978</v>
      </c>
      <c r="Q140" s="115">
        <v>376</v>
      </c>
      <c r="R140" s="116">
        <v>66030.83</v>
      </c>
      <c r="S140" s="109"/>
      <c r="T140" s="117">
        <f t="shared" si="42"/>
        <v>66030.83</v>
      </c>
      <c r="U140" s="118">
        <f t="shared" si="31"/>
        <v>65308.499999999993</v>
      </c>
      <c r="V140" s="119">
        <f t="shared" si="32"/>
        <v>722.33</v>
      </c>
      <c r="W140" s="116">
        <f t="shared" si="33"/>
        <v>66030.829999999987</v>
      </c>
      <c r="X140" s="120"/>
      <c r="Y140" s="121" t="s">
        <v>1411</v>
      </c>
      <c r="Z140" s="109"/>
    </row>
    <row r="141" spans="1:26">
      <c r="A141" s="6">
        <v>132</v>
      </c>
      <c r="B141" s="109" t="s">
        <v>1398</v>
      </c>
      <c r="C141" s="109" t="s">
        <v>1515</v>
      </c>
      <c r="D141" s="110">
        <v>0</v>
      </c>
      <c r="E141" s="111">
        <v>0</v>
      </c>
      <c r="F141" s="111">
        <v>0</v>
      </c>
      <c r="G141" s="111">
        <v>40618.47</v>
      </c>
      <c r="H141" s="111">
        <v>339071.88</v>
      </c>
      <c r="I141" s="112">
        <v>6389.21</v>
      </c>
      <c r="J141" s="113">
        <v>0</v>
      </c>
      <c r="K141" s="113">
        <v>0</v>
      </c>
      <c r="L141" s="113">
        <v>0</v>
      </c>
      <c r="M141" s="113">
        <v>0</v>
      </c>
      <c r="N141" s="113">
        <v>0</v>
      </c>
      <c r="O141" s="113">
        <v>0</v>
      </c>
      <c r="P141" s="114">
        <v>42874</v>
      </c>
      <c r="Q141" s="115">
        <v>367</v>
      </c>
      <c r="R141" s="116">
        <v>386079.56</v>
      </c>
      <c r="S141" s="109"/>
      <c r="T141" s="117">
        <f t="shared" si="42"/>
        <v>386079.56</v>
      </c>
      <c r="U141" s="118">
        <f t="shared" si="31"/>
        <v>386079.56</v>
      </c>
      <c r="V141" s="119">
        <f t="shared" si="32"/>
        <v>0</v>
      </c>
      <c r="W141" s="116">
        <f t="shared" si="33"/>
        <v>386079.56</v>
      </c>
      <c r="X141" s="117">
        <f t="shared" ref="X141:X149" si="44">+T141</f>
        <v>386079.56</v>
      </c>
      <c r="Y141" s="121">
        <v>18</v>
      </c>
      <c r="Z141" s="109"/>
    </row>
    <row r="142" spans="1:26">
      <c r="A142" s="6">
        <v>133</v>
      </c>
      <c r="B142" s="109" t="s">
        <v>1398</v>
      </c>
      <c r="C142" s="109" t="s">
        <v>1516</v>
      </c>
      <c r="D142" s="110">
        <v>0</v>
      </c>
      <c r="E142" s="111">
        <v>671</v>
      </c>
      <c r="F142" s="111">
        <v>5903.55</v>
      </c>
      <c r="G142" s="111">
        <v>303815.90000000002</v>
      </c>
      <c r="H142" s="111">
        <v>681.13</v>
      </c>
      <c r="I142" s="112">
        <v>0</v>
      </c>
      <c r="J142" s="113">
        <v>0</v>
      </c>
      <c r="K142" s="113">
        <v>0</v>
      </c>
      <c r="L142" s="113">
        <v>0</v>
      </c>
      <c r="M142" s="113">
        <v>0</v>
      </c>
      <c r="N142" s="113">
        <v>0</v>
      </c>
      <c r="O142" s="113">
        <v>0</v>
      </c>
      <c r="P142" s="114">
        <v>42800</v>
      </c>
      <c r="Q142" s="115">
        <v>376</v>
      </c>
      <c r="R142" s="116">
        <v>311071.58</v>
      </c>
      <c r="S142" s="109"/>
      <c r="T142" s="117">
        <f t="shared" si="42"/>
        <v>311071.58</v>
      </c>
      <c r="U142" s="118">
        <f t="shared" si="31"/>
        <v>311071.58</v>
      </c>
      <c r="V142" s="119">
        <f t="shared" si="32"/>
        <v>0</v>
      </c>
      <c r="W142" s="116">
        <f t="shared" si="33"/>
        <v>311071.58</v>
      </c>
      <c r="X142" s="117">
        <f t="shared" si="44"/>
        <v>311071.58</v>
      </c>
      <c r="Y142" s="121">
        <v>1</v>
      </c>
      <c r="Z142" s="109"/>
    </row>
    <row r="143" spans="1:26">
      <c r="A143" s="6">
        <v>134</v>
      </c>
      <c r="B143" s="109" t="s">
        <v>1398</v>
      </c>
      <c r="C143" s="109" t="s">
        <v>1517</v>
      </c>
      <c r="D143" s="110">
        <v>0</v>
      </c>
      <c r="E143" s="111">
        <v>0</v>
      </c>
      <c r="F143" s="111">
        <v>90775.67</v>
      </c>
      <c r="G143" s="111">
        <v>1537.38</v>
      </c>
      <c r="H143" s="111">
        <v>509.11</v>
      </c>
      <c r="I143" s="112">
        <v>764.18000000000006</v>
      </c>
      <c r="J143" s="113">
        <v>0</v>
      </c>
      <c r="K143" s="113">
        <v>0</v>
      </c>
      <c r="L143" s="113">
        <v>0</v>
      </c>
      <c r="M143" s="113">
        <v>0</v>
      </c>
      <c r="N143" s="113">
        <v>0</v>
      </c>
      <c r="O143" s="113">
        <v>0</v>
      </c>
      <c r="P143" s="114">
        <v>42885</v>
      </c>
      <c r="Q143" s="115">
        <v>376</v>
      </c>
      <c r="R143" s="116">
        <v>93586.34</v>
      </c>
      <c r="S143" s="109"/>
      <c r="T143" s="117">
        <f t="shared" si="42"/>
        <v>93586.34</v>
      </c>
      <c r="U143" s="118">
        <f t="shared" si="31"/>
        <v>93586.34</v>
      </c>
      <c r="V143" s="119">
        <f t="shared" si="32"/>
        <v>0</v>
      </c>
      <c r="W143" s="116">
        <f t="shared" si="33"/>
        <v>93586.34</v>
      </c>
      <c r="X143" s="117">
        <f t="shared" si="44"/>
        <v>93586.34</v>
      </c>
      <c r="Y143" s="121">
        <v>30</v>
      </c>
      <c r="Z143" s="109"/>
    </row>
    <row r="144" spans="1:26">
      <c r="A144" s="6">
        <v>135</v>
      </c>
      <c r="B144" s="109" t="s">
        <v>1398</v>
      </c>
      <c r="C144" s="109" t="s">
        <v>1518</v>
      </c>
      <c r="D144" s="110">
        <v>0</v>
      </c>
      <c r="E144" s="111">
        <v>526.37</v>
      </c>
      <c r="F144" s="111">
        <v>98674.53</v>
      </c>
      <c r="G144" s="111">
        <v>547.09</v>
      </c>
      <c r="H144" s="111">
        <v>7305.1900000000005</v>
      </c>
      <c r="I144" s="112">
        <v>4066.54</v>
      </c>
      <c r="J144" s="113">
        <v>0</v>
      </c>
      <c r="K144" s="113">
        <v>0</v>
      </c>
      <c r="L144" s="113">
        <v>0</v>
      </c>
      <c r="M144" s="113">
        <v>0</v>
      </c>
      <c r="N144" s="113">
        <v>0</v>
      </c>
      <c r="O144" s="113">
        <v>0</v>
      </c>
      <c r="P144" s="114">
        <v>42885</v>
      </c>
      <c r="Q144" s="115">
        <v>376</v>
      </c>
      <c r="R144" s="116">
        <v>111119.72</v>
      </c>
      <c r="S144" s="109"/>
      <c r="T144" s="117">
        <f t="shared" si="42"/>
        <v>111119.72</v>
      </c>
      <c r="U144" s="118">
        <f t="shared" si="31"/>
        <v>111119.71999999999</v>
      </c>
      <c r="V144" s="119">
        <f t="shared" si="32"/>
        <v>0</v>
      </c>
      <c r="W144" s="116">
        <f t="shared" si="33"/>
        <v>111119.71999999999</v>
      </c>
      <c r="X144" s="117">
        <f t="shared" si="44"/>
        <v>111119.72</v>
      </c>
      <c r="Y144" s="121">
        <v>31</v>
      </c>
      <c r="Z144" s="109"/>
    </row>
    <row r="145" spans="1:26">
      <c r="A145" s="6">
        <v>136</v>
      </c>
      <c r="B145" s="109" t="s">
        <v>1398</v>
      </c>
      <c r="C145" s="109" t="s">
        <v>1519</v>
      </c>
      <c r="D145" s="110">
        <v>0</v>
      </c>
      <c r="E145" s="111">
        <v>2769.9900000000002</v>
      </c>
      <c r="F145" s="111">
        <v>6384.77</v>
      </c>
      <c r="G145" s="111">
        <v>35494.21</v>
      </c>
      <c r="H145" s="111">
        <v>162121.5</v>
      </c>
      <c r="I145" s="112">
        <v>-35806.340000000004</v>
      </c>
      <c r="J145" s="113">
        <v>0</v>
      </c>
      <c r="K145" s="113">
        <v>0</v>
      </c>
      <c r="L145" s="113">
        <v>0</v>
      </c>
      <c r="M145" s="113">
        <v>0</v>
      </c>
      <c r="N145" s="113">
        <v>0</v>
      </c>
      <c r="O145" s="113">
        <v>0</v>
      </c>
      <c r="P145" s="114">
        <v>42855</v>
      </c>
      <c r="Q145" s="115">
        <v>376</v>
      </c>
      <c r="R145" s="116">
        <v>170964.13</v>
      </c>
      <c r="S145" s="109"/>
      <c r="T145" s="117">
        <f t="shared" si="42"/>
        <v>170964.13</v>
      </c>
      <c r="U145" s="118">
        <f t="shared" si="31"/>
        <v>170964.13</v>
      </c>
      <c r="V145" s="119">
        <f t="shared" si="32"/>
        <v>0</v>
      </c>
      <c r="W145" s="116">
        <f t="shared" si="33"/>
        <v>170964.13</v>
      </c>
      <c r="X145" s="117">
        <f t="shared" si="44"/>
        <v>170964.13</v>
      </c>
      <c r="Y145" s="121">
        <v>36</v>
      </c>
      <c r="Z145" s="109"/>
    </row>
    <row r="146" spans="1:26">
      <c r="A146" s="6">
        <v>137</v>
      </c>
      <c r="B146" s="109" t="s">
        <v>1398</v>
      </c>
      <c r="C146" s="109" t="s">
        <v>1520</v>
      </c>
      <c r="D146" s="110">
        <v>0</v>
      </c>
      <c r="E146" s="111">
        <v>0</v>
      </c>
      <c r="F146" s="111">
        <v>7237.1500000000005</v>
      </c>
      <c r="G146" s="111">
        <v>12877.34</v>
      </c>
      <c r="H146" s="111">
        <v>25395.510000000002</v>
      </c>
      <c r="I146" s="112">
        <v>8701.2100000000009</v>
      </c>
      <c r="J146" s="113">
        <v>267.5</v>
      </c>
      <c r="K146" s="113">
        <v>161986.99</v>
      </c>
      <c r="L146" s="113">
        <v>0</v>
      </c>
      <c r="M146" s="113">
        <v>0</v>
      </c>
      <c r="N146" s="113">
        <v>0</v>
      </c>
      <c r="O146" s="113">
        <v>0</v>
      </c>
      <c r="P146" s="114">
        <v>42962</v>
      </c>
      <c r="Q146" s="115">
        <v>376</v>
      </c>
      <c r="R146" s="116">
        <v>216465.7</v>
      </c>
      <c r="S146" s="109"/>
      <c r="T146" s="117">
        <f t="shared" si="42"/>
        <v>216465.7</v>
      </c>
      <c r="U146" s="118">
        <f t="shared" si="31"/>
        <v>54211.21</v>
      </c>
      <c r="V146" s="119">
        <f t="shared" si="32"/>
        <v>162254.49</v>
      </c>
      <c r="W146" s="116">
        <f t="shared" si="33"/>
        <v>216465.69999999998</v>
      </c>
      <c r="X146" s="117"/>
      <c r="Y146" s="121" t="s">
        <v>1426</v>
      </c>
      <c r="Z146" s="109"/>
    </row>
    <row r="147" spans="1:26">
      <c r="A147" s="6">
        <v>138</v>
      </c>
      <c r="B147" s="109" t="s">
        <v>1398</v>
      </c>
      <c r="C147" s="109" t="s">
        <v>1521</v>
      </c>
      <c r="D147" s="110">
        <v>0</v>
      </c>
      <c r="E147" s="111">
        <v>0</v>
      </c>
      <c r="F147" s="111">
        <v>0</v>
      </c>
      <c r="G147" s="111">
        <v>0</v>
      </c>
      <c r="H147" s="111">
        <v>0</v>
      </c>
      <c r="I147" s="112">
        <v>2774.3</v>
      </c>
      <c r="J147" s="113">
        <v>15381.5</v>
      </c>
      <c r="K147" s="113">
        <v>0</v>
      </c>
      <c r="L147" s="113">
        <v>0</v>
      </c>
      <c r="M147" s="113">
        <v>0</v>
      </c>
      <c r="N147" s="113">
        <v>0</v>
      </c>
      <c r="O147" s="113">
        <v>0</v>
      </c>
      <c r="P147" s="114">
        <v>42917</v>
      </c>
      <c r="Q147" s="115">
        <v>376</v>
      </c>
      <c r="R147" s="116">
        <v>18155.8</v>
      </c>
      <c r="S147" s="109"/>
      <c r="T147" s="117">
        <f t="shared" si="42"/>
        <v>18155.8</v>
      </c>
      <c r="U147" s="118">
        <f t="shared" si="31"/>
        <v>2774.3</v>
      </c>
      <c r="V147" s="119">
        <f t="shared" si="32"/>
        <v>15381.5</v>
      </c>
      <c r="W147" s="116">
        <f t="shared" si="33"/>
        <v>18155.8</v>
      </c>
      <c r="X147" s="117"/>
      <c r="Y147" s="121" t="s">
        <v>1411</v>
      </c>
      <c r="Z147" s="109"/>
    </row>
    <row r="148" spans="1:26">
      <c r="A148" s="6">
        <v>139</v>
      </c>
      <c r="B148" s="109" t="s">
        <v>1398</v>
      </c>
      <c r="C148" s="109" t="s">
        <v>1522</v>
      </c>
      <c r="D148" s="110">
        <v>0</v>
      </c>
      <c r="E148" s="111">
        <v>0</v>
      </c>
      <c r="F148" s="111">
        <v>0</v>
      </c>
      <c r="G148" s="111">
        <v>26072.47</v>
      </c>
      <c r="H148" s="111">
        <v>198759.32</v>
      </c>
      <c r="I148" s="112">
        <v>282918.56</v>
      </c>
      <c r="J148" s="113">
        <v>130293.73</v>
      </c>
      <c r="K148" s="113">
        <v>0</v>
      </c>
      <c r="L148" s="113">
        <v>0</v>
      </c>
      <c r="M148" s="113">
        <v>0</v>
      </c>
      <c r="N148" s="113">
        <v>0</v>
      </c>
      <c r="O148" s="113">
        <v>0</v>
      </c>
      <c r="P148" s="114">
        <v>42917</v>
      </c>
      <c r="Q148" s="115">
        <v>376</v>
      </c>
      <c r="R148" s="116">
        <v>638044.07999999996</v>
      </c>
      <c r="S148" s="109"/>
      <c r="T148" s="117">
        <f t="shared" si="42"/>
        <v>638044.07999999996</v>
      </c>
      <c r="U148" s="118">
        <f t="shared" si="31"/>
        <v>507750.35</v>
      </c>
      <c r="V148" s="119">
        <f t="shared" si="32"/>
        <v>130293.73</v>
      </c>
      <c r="W148" s="116">
        <f t="shared" si="33"/>
        <v>638044.07999999996</v>
      </c>
      <c r="X148" s="117"/>
      <c r="Y148" s="121" t="s">
        <v>1411</v>
      </c>
      <c r="Z148" s="109"/>
    </row>
    <row r="149" spans="1:26">
      <c r="A149" s="6">
        <v>140</v>
      </c>
      <c r="B149" s="109" t="s">
        <v>1398</v>
      </c>
      <c r="C149" s="109" t="s">
        <v>1523</v>
      </c>
      <c r="D149" s="110">
        <v>0</v>
      </c>
      <c r="E149" s="111">
        <v>0</v>
      </c>
      <c r="F149" s="111">
        <v>0</v>
      </c>
      <c r="G149" s="111">
        <v>-150000</v>
      </c>
      <c r="H149" s="111">
        <v>4477.79</v>
      </c>
      <c r="I149" s="112">
        <v>-274544.42</v>
      </c>
      <c r="J149" s="113">
        <v>280167.21000000002</v>
      </c>
      <c r="K149" s="113">
        <v>0</v>
      </c>
      <c r="L149" s="113">
        <v>0</v>
      </c>
      <c r="M149" s="113">
        <v>0</v>
      </c>
      <c r="N149" s="113">
        <v>0</v>
      </c>
      <c r="O149" s="113">
        <v>0</v>
      </c>
      <c r="P149" s="114">
        <v>42928</v>
      </c>
      <c r="Q149" s="115">
        <v>376</v>
      </c>
      <c r="R149" s="116">
        <v>-139899.42000000001</v>
      </c>
      <c r="S149" s="109"/>
      <c r="T149" s="117">
        <f t="shared" si="42"/>
        <v>-139899.42000000001</v>
      </c>
      <c r="U149" s="118">
        <f t="shared" si="31"/>
        <v>-420066.63</v>
      </c>
      <c r="V149" s="119">
        <f t="shared" si="32"/>
        <v>280167.21000000002</v>
      </c>
      <c r="W149" s="116">
        <f t="shared" si="33"/>
        <v>-139899.41999999998</v>
      </c>
      <c r="X149" s="120">
        <f t="shared" si="44"/>
        <v>-139899.42000000001</v>
      </c>
      <c r="Y149" s="121"/>
      <c r="Z149" s="109"/>
    </row>
    <row r="150" spans="1:26">
      <c r="A150" s="6">
        <v>141</v>
      </c>
      <c r="B150" s="109" t="s">
        <v>1398</v>
      </c>
      <c r="C150" s="109" t="s">
        <v>1524</v>
      </c>
      <c r="D150" s="110">
        <v>0</v>
      </c>
      <c r="E150" s="111">
        <v>0</v>
      </c>
      <c r="F150" s="111">
        <v>0</v>
      </c>
      <c r="G150" s="111">
        <v>0</v>
      </c>
      <c r="H150" s="111">
        <v>0</v>
      </c>
      <c r="I150" s="112">
        <v>0</v>
      </c>
      <c r="J150" s="113">
        <v>14475.56</v>
      </c>
      <c r="K150" s="113">
        <v>14555.39</v>
      </c>
      <c r="L150" s="113">
        <v>0</v>
      </c>
      <c r="M150" s="113">
        <v>0</v>
      </c>
      <c r="N150" s="113">
        <v>0</v>
      </c>
      <c r="O150" s="113">
        <v>0</v>
      </c>
      <c r="P150" s="114">
        <v>42977</v>
      </c>
      <c r="Q150" s="115">
        <v>376</v>
      </c>
      <c r="R150" s="116">
        <v>29030.95</v>
      </c>
      <c r="S150" s="109"/>
      <c r="T150" s="117">
        <f t="shared" si="42"/>
        <v>29030.95</v>
      </c>
      <c r="U150" s="118">
        <f t="shared" si="31"/>
        <v>0</v>
      </c>
      <c r="V150" s="119">
        <f t="shared" si="32"/>
        <v>29030.949999999997</v>
      </c>
      <c r="W150" s="116">
        <f t="shared" si="33"/>
        <v>29030.949999999997</v>
      </c>
      <c r="X150" s="117"/>
      <c r="Y150" s="121" t="s">
        <v>1411</v>
      </c>
      <c r="Z150" s="109"/>
    </row>
    <row r="151" spans="1:26">
      <c r="A151" s="6">
        <v>142</v>
      </c>
      <c r="B151" s="109" t="s">
        <v>1398</v>
      </c>
      <c r="C151" s="109" t="s">
        <v>1525</v>
      </c>
      <c r="D151" s="110">
        <v>0</v>
      </c>
      <c r="E151" s="111">
        <v>0</v>
      </c>
      <c r="F151" s="111">
        <v>0</v>
      </c>
      <c r="G151" s="111">
        <v>0</v>
      </c>
      <c r="H151" s="111">
        <v>0</v>
      </c>
      <c r="I151" s="112">
        <v>3178.35</v>
      </c>
      <c r="J151" s="113">
        <v>18475.330000000002</v>
      </c>
      <c r="K151" s="113">
        <v>0</v>
      </c>
      <c r="L151" s="113">
        <v>0</v>
      </c>
      <c r="M151" s="113">
        <v>0</v>
      </c>
      <c r="N151" s="113">
        <v>0</v>
      </c>
      <c r="O151" s="113">
        <v>0</v>
      </c>
      <c r="P151" s="114">
        <v>42921</v>
      </c>
      <c r="Q151" s="115">
        <v>376</v>
      </c>
      <c r="R151" s="116">
        <v>21653.68</v>
      </c>
      <c r="S151" s="109"/>
      <c r="T151" s="117">
        <f t="shared" si="42"/>
        <v>21653.68</v>
      </c>
      <c r="U151" s="118">
        <f t="shared" si="31"/>
        <v>3178.35</v>
      </c>
      <c r="V151" s="119">
        <f t="shared" si="32"/>
        <v>18475.330000000002</v>
      </c>
      <c r="W151" s="116">
        <f t="shared" si="33"/>
        <v>21653.68</v>
      </c>
      <c r="X151" s="109"/>
      <c r="Y151" s="121" t="s">
        <v>1411</v>
      </c>
      <c r="Z151" s="109"/>
    </row>
    <row r="152" spans="1:26">
      <c r="A152" s="6">
        <v>143</v>
      </c>
      <c r="B152" s="109" t="s">
        <v>1398</v>
      </c>
      <c r="C152" s="109" t="s">
        <v>1526</v>
      </c>
      <c r="D152" s="110">
        <v>0</v>
      </c>
      <c r="E152" s="111">
        <v>0</v>
      </c>
      <c r="F152" s="111">
        <v>0</v>
      </c>
      <c r="G152" s="111">
        <v>0</v>
      </c>
      <c r="H152" s="111">
        <v>0</v>
      </c>
      <c r="I152" s="112">
        <v>0</v>
      </c>
      <c r="J152" s="113">
        <v>15478.4</v>
      </c>
      <c r="K152" s="113">
        <v>15563.76</v>
      </c>
      <c r="L152" s="113">
        <v>0</v>
      </c>
      <c r="M152" s="113">
        <v>0</v>
      </c>
      <c r="N152" s="113">
        <v>0</v>
      </c>
      <c r="O152" s="113">
        <v>0</v>
      </c>
      <c r="P152" s="114">
        <v>42948</v>
      </c>
      <c r="Q152" s="115">
        <v>376</v>
      </c>
      <c r="R152" s="116">
        <v>31042.16</v>
      </c>
      <c r="S152" s="109"/>
      <c r="T152" s="117">
        <f t="shared" si="42"/>
        <v>31042.16</v>
      </c>
      <c r="U152" s="118">
        <f t="shared" si="31"/>
        <v>0</v>
      </c>
      <c r="V152" s="119">
        <f t="shared" si="32"/>
        <v>31042.16</v>
      </c>
      <c r="W152" s="116">
        <f t="shared" si="33"/>
        <v>31042.16</v>
      </c>
      <c r="X152" s="109"/>
      <c r="Y152" s="121" t="s">
        <v>1411</v>
      </c>
      <c r="Z152" s="109"/>
    </row>
    <row r="153" spans="1:26">
      <c r="A153" s="6">
        <v>144</v>
      </c>
      <c r="B153" s="109" t="s">
        <v>1398</v>
      </c>
      <c r="C153" s="109" t="s">
        <v>1527</v>
      </c>
      <c r="D153" s="110">
        <v>0</v>
      </c>
      <c r="E153" s="111">
        <v>0</v>
      </c>
      <c r="F153" s="111">
        <v>0</v>
      </c>
      <c r="G153" s="111">
        <v>6324.5</v>
      </c>
      <c r="H153" s="111">
        <v>22357.170000000002</v>
      </c>
      <c r="I153" s="112">
        <v>13325.79</v>
      </c>
      <c r="J153" s="113">
        <v>0</v>
      </c>
      <c r="K153" s="113">
        <v>0</v>
      </c>
      <c r="L153" s="113">
        <v>0</v>
      </c>
      <c r="M153" s="113">
        <v>0</v>
      </c>
      <c r="N153" s="113">
        <v>0</v>
      </c>
      <c r="O153" s="113">
        <v>0</v>
      </c>
      <c r="P153" s="114">
        <v>42902</v>
      </c>
      <c r="Q153" s="115">
        <v>376</v>
      </c>
      <c r="R153" s="116">
        <v>42007.46</v>
      </c>
      <c r="S153" s="109"/>
      <c r="T153" s="117">
        <f t="shared" si="42"/>
        <v>42007.46</v>
      </c>
      <c r="U153" s="118">
        <f t="shared" si="31"/>
        <v>42007.460000000006</v>
      </c>
      <c r="V153" s="119">
        <f t="shared" si="32"/>
        <v>0</v>
      </c>
      <c r="W153" s="116">
        <f t="shared" si="33"/>
        <v>42007.460000000006</v>
      </c>
      <c r="X153" s="117"/>
      <c r="Y153" s="121" t="s">
        <v>1411</v>
      </c>
      <c r="Z153" s="109"/>
    </row>
    <row r="154" spans="1:26">
      <c r="A154" s="6">
        <v>145</v>
      </c>
      <c r="B154" s="109" t="s">
        <v>1398</v>
      </c>
      <c r="C154" s="109" t="s">
        <v>1528</v>
      </c>
      <c r="D154" s="110">
        <v>0</v>
      </c>
      <c r="E154" s="111">
        <v>0</v>
      </c>
      <c r="F154" s="111">
        <v>0</v>
      </c>
      <c r="G154" s="111">
        <v>0</v>
      </c>
      <c r="H154" s="111">
        <v>39324.89</v>
      </c>
      <c r="I154" s="112">
        <v>528.98</v>
      </c>
      <c r="J154" s="113">
        <v>19993.38</v>
      </c>
      <c r="K154" s="113">
        <v>19773.59</v>
      </c>
      <c r="L154" s="113">
        <v>0</v>
      </c>
      <c r="M154" s="113">
        <v>0</v>
      </c>
      <c r="N154" s="113">
        <v>0</v>
      </c>
      <c r="O154" s="113">
        <v>0</v>
      </c>
      <c r="P154" s="114">
        <v>42947</v>
      </c>
      <c r="Q154" s="115">
        <v>376</v>
      </c>
      <c r="R154" s="116">
        <v>79620.84</v>
      </c>
      <c r="S154" s="109"/>
      <c r="T154" s="117">
        <f t="shared" si="42"/>
        <v>79620.84</v>
      </c>
      <c r="U154" s="118">
        <f t="shared" si="31"/>
        <v>39853.870000000003</v>
      </c>
      <c r="V154" s="119">
        <f t="shared" si="32"/>
        <v>39766.97</v>
      </c>
      <c r="W154" s="116">
        <f t="shared" si="33"/>
        <v>79620.84</v>
      </c>
      <c r="X154" s="109"/>
      <c r="Y154" s="121" t="s">
        <v>1411</v>
      </c>
      <c r="Z154" s="109"/>
    </row>
    <row r="155" spans="1:26">
      <c r="A155" s="6">
        <v>146</v>
      </c>
      <c r="B155" s="109" t="s">
        <v>1398</v>
      </c>
      <c r="C155" s="109" t="s">
        <v>1529</v>
      </c>
      <c r="D155" s="110">
        <v>0</v>
      </c>
      <c r="E155" s="111">
        <v>0</v>
      </c>
      <c r="F155" s="111">
        <v>0</v>
      </c>
      <c r="G155" s="111">
        <v>0</v>
      </c>
      <c r="H155" s="111">
        <v>0</v>
      </c>
      <c r="I155" s="112">
        <v>9150.07</v>
      </c>
      <c r="J155" s="113">
        <v>46.32</v>
      </c>
      <c r="K155" s="113">
        <v>46.58</v>
      </c>
      <c r="L155" s="113">
        <v>46.83</v>
      </c>
      <c r="M155" s="113">
        <v>47.09</v>
      </c>
      <c r="N155" s="113">
        <v>47.35</v>
      </c>
      <c r="O155" s="113">
        <v>47.61</v>
      </c>
      <c r="P155" s="114">
        <v>43100</v>
      </c>
      <c r="Q155" s="115">
        <v>376</v>
      </c>
      <c r="R155" s="116">
        <v>9431.85</v>
      </c>
      <c r="S155" s="109"/>
      <c r="T155" s="117"/>
      <c r="U155" s="118">
        <f t="shared" ref="U155:U166" si="45">SUM(D155:I155)</f>
        <v>9150.07</v>
      </c>
      <c r="V155" s="119">
        <f t="shared" ref="V155:V166" si="46">SUM(J155:O155)</f>
        <v>281.78000000000003</v>
      </c>
      <c r="W155" s="116">
        <f t="shared" ref="W155:W166" si="47">U155+V155</f>
        <v>9431.85</v>
      </c>
      <c r="X155" s="109"/>
      <c r="Y155" s="121"/>
      <c r="Z155" s="109"/>
    </row>
    <row r="156" spans="1:26">
      <c r="A156" s="6">
        <v>147</v>
      </c>
      <c r="B156" s="109" t="s">
        <v>1398</v>
      </c>
      <c r="C156" s="109" t="s">
        <v>1530</v>
      </c>
      <c r="D156" s="110">
        <v>0</v>
      </c>
      <c r="E156" s="111">
        <v>0</v>
      </c>
      <c r="F156" s="111">
        <v>0</v>
      </c>
      <c r="G156" s="111">
        <v>0</v>
      </c>
      <c r="H156" s="111">
        <v>0</v>
      </c>
      <c r="I156" s="112">
        <v>0</v>
      </c>
      <c r="J156" s="113">
        <v>33277.33</v>
      </c>
      <c r="K156" s="113">
        <v>33460.85</v>
      </c>
      <c r="L156" s="113">
        <v>33645.39</v>
      </c>
      <c r="M156" s="113">
        <v>0</v>
      </c>
      <c r="N156" s="113">
        <v>0</v>
      </c>
      <c r="O156" s="113">
        <v>0</v>
      </c>
      <c r="P156" s="114">
        <v>42979</v>
      </c>
      <c r="Q156" s="115">
        <v>376</v>
      </c>
      <c r="R156" s="116">
        <v>100383.57</v>
      </c>
      <c r="S156" s="109"/>
      <c r="T156" s="117">
        <f t="shared" ref="T156:T159" si="48">+R156</f>
        <v>100383.57</v>
      </c>
      <c r="U156" s="118">
        <f t="shared" si="45"/>
        <v>0</v>
      </c>
      <c r="V156" s="119">
        <f t="shared" si="46"/>
        <v>100383.56999999999</v>
      </c>
      <c r="W156" s="116">
        <f t="shared" si="47"/>
        <v>100383.56999999999</v>
      </c>
      <c r="X156" s="117"/>
      <c r="Y156" s="121" t="s">
        <v>1411</v>
      </c>
      <c r="Z156" s="109"/>
    </row>
    <row r="157" spans="1:26">
      <c r="A157" s="6">
        <v>148</v>
      </c>
      <c r="B157" s="109" t="s">
        <v>1398</v>
      </c>
      <c r="C157" s="109" t="s">
        <v>1531</v>
      </c>
      <c r="D157" s="110">
        <v>0</v>
      </c>
      <c r="E157" s="111">
        <v>0</v>
      </c>
      <c r="F157" s="111">
        <v>0</v>
      </c>
      <c r="G157" s="111">
        <v>0</v>
      </c>
      <c r="H157" s="111">
        <v>0</v>
      </c>
      <c r="I157" s="112">
        <v>0</v>
      </c>
      <c r="J157" s="113">
        <v>14848.6</v>
      </c>
      <c r="K157" s="113">
        <v>14930.49</v>
      </c>
      <c r="L157" s="113">
        <v>0</v>
      </c>
      <c r="M157" s="113">
        <v>0</v>
      </c>
      <c r="N157" s="113">
        <v>0</v>
      </c>
      <c r="O157" s="113">
        <v>0</v>
      </c>
      <c r="P157" s="114">
        <v>42962</v>
      </c>
      <c r="Q157" s="115">
        <v>376</v>
      </c>
      <c r="R157" s="116">
        <v>29779.09</v>
      </c>
      <c r="S157" s="109"/>
      <c r="T157" s="117">
        <f t="shared" si="48"/>
        <v>29779.09</v>
      </c>
      <c r="U157" s="118">
        <f t="shared" si="45"/>
        <v>0</v>
      </c>
      <c r="V157" s="119">
        <f t="shared" si="46"/>
        <v>29779.09</v>
      </c>
      <c r="W157" s="116">
        <f t="shared" si="47"/>
        <v>29779.09</v>
      </c>
      <c r="X157" s="109"/>
      <c r="Y157" s="121" t="s">
        <v>1411</v>
      </c>
      <c r="Z157" s="109"/>
    </row>
    <row r="158" spans="1:26">
      <c r="A158" s="6">
        <v>149</v>
      </c>
      <c r="B158" s="109" t="s">
        <v>1398</v>
      </c>
      <c r="C158" s="109" t="s">
        <v>1532</v>
      </c>
      <c r="D158" s="110">
        <v>0</v>
      </c>
      <c r="E158" s="111">
        <v>0</v>
      </c>
      <c r="F158" s="111">
        <v>0</v>
      </c>
      <c r="G158" s="111">
        <v>0</v>
      </c>
      <c r="H158" s="111">
        <v>0</v>
      </c>
      <c r="I158" s="112">
        <v>0</v>
      </c>
      <c r="J158" s="113">
        <v>25385.53</v>
      </c>
      <c r="K158" s="113">
        <v>25525.53</v>
      </c>
      <c r="L158" s="113">
        <v>0</v>
      </c>
      <c r="M158" s="113">
        <v>0</v>
      </c>
      <c r="N158" s="113">
        <v>0</v>
      </c>
      <c r="O158" s="113">
        <v>0</v>
      </c>
      <c r="P158" s="114">
        <v>42962</v>
      </c>
      <c r="Q158" s="115">
        <v>376</v>
      </c>
      <c r="R158" s="116">
        <v>50911.06</v>
      </c>
      <c r="S158" s="109"/>
      <c r="T158" s="117">
        <f t="shared" si="48"/>
        <v>50911.06</v>
      </c>
      <c r="U158" s="118">
        <f t="shared" si="45"/>
        <v>0</v>
      </c>
      <c r="V158" s="119">
        <f t="shared" si="46"/>
        <v>50911.06</v>
      </c>
      <c r="W158" s="116">
        <f t="shared" si="47"/>
        <v>50911.06</v>
      </c>
      <c r="X158" s="109"/>
      <c r="Y158" s="121" t="s">
        <v>1411</v>
      </c>
      <c r="Z158" s="109"/>
    </row>
    <row r="159" spans="1:26">
      <c r="A159" s="6">
        <v>150</v>
      </c>
      <c r="B159" s="109" t="s">
        <v>1398</v>
      </c>
      <c r="C159" s="109" t="s">
        <v>1533</v>
      </c>
      <c r="D159" s="110">
        <v>0</v>
      </c>
      <c r="E159" s="111">
        <v>0</v>
      </c>
      <c r="F159" s="111">
        <v>0</v>
      </c>
      <c r="G159" s="111">
        <v>0</v>
      </c>
      <c r="H159" s="111">
        <v>0</v>
      </c>
      <c r="I159" s="112">
        <v>0</v>
      </c>
      <c r="J159" s="113">
        <v>31102.12</v>
      </c>
      <c r="K159" s="113">
        <v>31273.65</v>
      </c>
      <c r="L159" s="113">
        <v>31446.12</v>
      </c>
      <c r="M159" s="113">
        <v>0</v>
      </c>
      <c r="N159" s="113">
        <v>0</v>
      </c>
      <c r="O159" s="113">
        <v>0</v>
      </c>
      <c r="P159" s="114">
        <v>43008</v>
      </c>
      <c r="Q159" s="115">
        <v>376</v>
      </c>
      <c r="R159" s="116">
        <v>93821.89</v>
      </c>
      <c r="S159" s="109"/>
      <c r="T159" s="117">
        <f t="shared" si="48"/>
        <v>93821.89</v>
      </c>
      <c r="U159" s="118">
        <f t="shared" si="45"/>
        <v>0</v>
      </c>
      <c r="V159" s="119">
        <f t="shared" si="46"/>
        <v>93821.89</v>
      </c>
      <c r="W159" s="116">
        <f t="shared" si="47"/>
        <v>93821.89</v>
      </c>
      <c r="X159" s="109"/>
      <c r="Y159" s="121" t="s">
        <v>1411</v>
      </c>
      <c r="Z159" s="109"/>
    </row>
    <row r="160" spans="1:26">
      <c r="A160" s="6">
        <v>151</v>
      </c>
      <c r="B160" s="109" t="s">
        <v>1398</v>
      </c>
      <c r="C160" s="109" t="s">
        <v>1534</v>
      </c>
      <c r="D160" s="110">
        <v>0</v>
      </c>
      <c r="E160" s="111">
        <v>0</v>
      </c>
      <c r="F160" s="111">
        <v>0</v>
      </c>
      <c r="G160" s="111">
        <v>0</v>
      </c>
      <c r="H160" s="111">
        <v>0</v>
      </c>
      <c r="I160" s="112">
        <v>0</v>
      </c>
      <c r="J160" s="113">
        <v>142208.57</v>
      </c>
      <c r="K160" s="113">
        <v>142992.86000000002</v>
      </c>
      <c r="L160" s="113">
        <v>143781.46</v>
      </c>
      <c r="M160" s="113">
        <v>144574.42000000001</v>
      </c>
      <c r="N160" s="113">
        <v>145371.74</v>
      </c>
      <c r="O160" s="113">
        <v>0</v>
      </c>
      <c r="P160" s="114">
        <v>43069</v>
      </c>
      <c r="Q160" s="115">
        <v>376</v>
      </c>
      <c r="R160" s="116">
        <v>718929.05</v>
      </c>
      <c r="S160" s="109"/>
      <c r="T160" s="117">
        <f>+R160</f>
        <v>718929.05</v>
      </c>
      <c r="U160" s="118">
        <f t="shared" si="45"/>
        <v>0</v>
      </c>
      <c r="V160" s="119">
        <f t="shared" si="46"/>
        <v>718929.05</v>
      </c>
      <c r="W160" s="116">
        <f t="shared" si="47"/>
        <v>718929.05</v>
      </c>
      <c r="X160" s="143">
        <f>+T160</f>
        <v>718929.05</v>
      </c>
      <c r="Y160" s="121">
        <v>23</v>
      </c>
      <c r="Z160" s="109"/>
    </row>
    <row r="161" spans="1:26">
      <c r="A161" s="6">
        <v>152</v>
      </c>
      <c r="B161" s="109" t="s">
        <v>1398</v>
      </c>
      <c r="C161" s="109" t="s">
        <v>1535</v>
      </c>
      <c r="D161" s="110">
        <v>0</v>
      </c>
      <c r="E161" s="111">
        <v>0</v>
      </c>
      <c r="F161" s="111">
        <v>0</v>
      </c>
      <c r="G161" s="111">
        <v>0</v>
      </c>
      <c r="H161" s="111">
        <v>0</v>
      </c>
      <c r="I161" s="112">
        <v>0</v>
      </c>
      <c r="J161" s="113">
        <v>19111.810000000001</v>
      </c>
      <c r="K161" s="113">
        <v>19217.21</v>
      </c>
      <c r="L161" s="113">
        <v>19323.189999999999</v>
      </c>
      <c r="M161" s="113">
        <v>0</v>
      </c>
      <c r="N161" s="113">
        <v>0</v>
      </c>
      <c r="O161" s="113">
        <v>0</v>
      </c>
      <c r="P161" s="114">
        <v>42990</v>
      </c>
      <c r="Q161" s="115">
        <v>376</v>
      </c>
      <c r="R161" s="116">
        <v>57652.21</v>
      </c>
      <c r="S161" s="109"/>
      <c r="T161" s="117">
        <f t="shared" ref="T161:T163" si="49">+R161</f>
        <v>57652.21</v>
      </c>
      <c r="U161" s="118">
        <f t="shared" si="45"/>
        <v>0</v>
      </c>
      <c r="V161" s="119">
        <f t="shared" si="46"/>
        <v>57652.210000000006</v>
      </c>
      <c r="W161" s="116">
        <f t="shared" si="47"/>
        <v>57652.210000000006</v>
      </c>
      <c r="X161" s="109"/>
      <c r="Y161" s="121" t="s">
        <v>1411</v>
      </c>
      <c r="Z161" s="109"/>
    </row>
    <row r="162" spans="1:26">
      <c r="A162" s="6">
        <v>153</v>
      </c>
      <c r="B162" s="109" t="s">
        <v>1398</v>
      </c>
      <c r="C162" s="109" t="s">
        <v>1536</v>
      </c>
      <c r="D162" s="110">
        <v>0</v>
      </c>
      <c r="E162" s="111">
        <v>0</v>
      </c>
      <c r="F162" s="111">
        <v>0</v>
      </c>
      <c r="G162" s="111">
        <v>0</v>
      </c>
      <c r="H162" s="111">
        <v>0</v>
      </c>
      <c r="I162" s="112">
        <v>0</v>
      </c>
      <c r="J162" s="113">
        <v>18501.41</v>
      </c>
      <c r="K162" s="113">
        <v>18603.439999999999</v>
      </c>
      <c r="L162" s="113">
        <v>18706.05</v>
      </c>
      <c r="M162" s="113">
        <v>18809.2</v>
      </c>
      <c r="N162" s="113">
        <v>0</v>
      </c>
      <c r="O162" s="113">
        <v>0</v>
      </c>
      <c r="P162" s="114">
        <v>43038</v>
      </c>
      <c r="Q162" s="115">
        <v>376</v>
      </c>
      <c r="R162" s="116">
        <v>74620.100000000006</v>
      </c>
      <c r="S162" s="109"/>
      <c r="T162" s="117">
        <f t="shared" si="49"/>
        <v>74620.100000000006</v>
      </c>
      <c r="U162" s="118">
        <f t="shared" si="45"/>
        <v>0</v>
      </c>
      <c r="V162" s="119">
        <f t="shared" si="46"/>
        <v>74620.099999999991</v>
      </c>
      <c r="W162" s="116">
        <f t="shared" si="47"/>
        <v>74620.099999999991</v>
      </c>
      <c r="X162" s="109"/>
      <c r="Y162" s="121" t="s">
        <v>1411</v>
      </c>
      <c r="Z162" s="109"/>
    </row>
    <row r="163" spans="1:26">
      <c r="A163" s="6">
        <v>154</v>
      </c>
      <c r="B163" s="109" t="s">
        <v>1398</v>
      </c>
      <c r="C163" s="109" t="s">
        <v>1537</v>
      </c>
      <c r="D163" s="110">
        <v>0</v>
      </c>
      <c r="E163" s="111">
        <v>0</v>
      </c>
      <c r="F163" s="111">
        <v>0</v>
      </c>
      <c r="G163" s="111">
        <v>0</v>
      </c>
      <c r="H163" s="111">
        <v>0</v>
      </c>
      <c r="I163" s="112">
        <v>0</v>
      </c>
      <c r="J163" s="113">
        <v>0</v>
      </c>
      <c r="K163" s="113">
        <v>23714.16</v>
      </c>
      <c r="L163" s="113">
        <v>23844.94</v>
      </c>
      <c r="M163" s="113">
        <v>23976.44</v>
      </c>
      <c r="N163" s="113">
        <v>24108.68</v>
      </c>
      <c r="O163" s="113">
        <v>0</v>
      </c>
      <c r="P163" s="114">
        <v>43069</v>
      </c>
      <c r="Q163" s="115">
        <v>376</v>
      </c>
      <c r="R163" s="116">
        <v>95644.22</v>
      </c>
      <c r="S163" s="109"/>
      <c r="T163" s="117">
        <f t="shared" si="49"/>
        <v>95644.22</v>
      </c>
      <c r="U163" s="118">
        <f t="shared" si="45"/>
        <v>0</v>
      </c>
      <c r="V163" s="119">
        <f t="shared" si="46"/>
        <v>95644.22</v>
      </c>
      <c r="W163" s="116">
        <f t="shared" si="47"/>
        <v>95644.22</v>
      </c>
      <c r="X163" s="117"/>
      <c r="Y163" s="121" t="s">
        <v>1411</v>
      </c>
      <c r="Z163" s="109"/>
    </row>
    <row r="164" spans="1:26">
      <c r="A164" s="6">
        <v>155</v>
      </c>
      <c r="B164" s="109" t="s">
        <v>1398</v>
      </c>
      <c r="C164" s="109" t="s">
        <v>1538</v>
      </c>
      <c r="D164" s="110">
        <v>0</v>
      </c>
      <c r="E164" s="111">
        <v>0</v>
      </c>
      <c r="F164" s="111">
        <v>0</v>
      </c>
      <c r="G164" s="111">
        <v>0</v>
      </c>
      <c r="H164" s="111">
        <v>0</v>
      </c>
      <c r="I164" s="112">
        <v>0</v>
      </c>
      <c r="J164" s="113">
        <v>27614.03</v>
      </c>
      <c r="K164" s="113">
        <v>27766.32</v>
      </c>
      <c r="L164" s="113">
        <v>27919.45</v>
      </c>
      <c r="M164" s="113">
        <v>28073.43</v>
      </c>
      <c r="N164" s="113">
        <v>0</v>
      </c>
      <c r="O164" s="113">
        <v>0</v>
      </c>
      <c r="P164" s="115"/>
      <c r="Q164" s="115"/>
      <c r="R164" s="116">
        <v>111373.23</v>
      </c>
      <c r="S164" s="109"/>
      <c r="T164" s="117"/>
      <c r="U164" s="118">
        <f t="shared" si="45"/>
        <v>0</v>
      </c>
      <c r="V164" s="119">
        <f t="shared" si="46"/>
        <v>111373.23000000001</v>
      </c>
      <c r="W164" s="116">
        <f t="shared" si="47"/>
        <v>111373.23000000001</v>
      </c>
      <c r="X164" s="109"/>
      <c r="Y164" s="121"/>
      <c r="Z164" s="109"/>
    </row>
    <row r="165" spans="1:26">
      <c r="A165" s="6">
        <v>156</v>
      </c>
      <c r="B165" s="109" t="s">
        <v>1539</v>
      </c>
      <c r="C165" s="109" t="s">
        <v>1540</v>
      </c>
      <c r="D165" s="110">
        <v>190.58</v>
      </c>
      <c r="E165" s="111">
        <v>191.73000000000002</v>
      </c>
      <c r="F165" s="111">
        <v>5972.87</v>
      </c>
      <c r="G165" s="111">
        <v>10415.34</v>
      </c>
      <c r="H165" s="111">
        <v>31809.8</v>
      </c>
      <c r="I165" s="112">
        <v>113610.73</v>
      </c>
      <c r="J165" s="113">
        <v>1068.24</v>
      </c>
      <c r="K165" s="113">
        <v>1074.1300000000001</v>
      </c>
      <c r="L165" s="113">
        <v>1080.05</v>
      </c>
      <c r="M165" s="113">
        <v>1086.01</v>
      </c>
      <c r="N165" s="113">
        <v>1092</v>
      </c>
      <c r="O165" s="113">
        <v>1098.02</v>
      </c>
      <c r="P165" s="114">
        <v>43100</v>
      </c>
      <c r="Q165" s="115">
        <v>376</v>
      </c>
      <c r="R165" s="116">
        <v>168689.5</v>
      </c>
      <c r="S165" s="109"/>
      <c r="T165" s="117">
        <f t="shared" ref="T165:T166" si="50">+R165</f>
        <v>168689.5</v>
      </c>
      <c r="U165" s="118">
        <f t="shared" si="45"/>
        <v>162191.04999999999</v>
      </c>
      <c r="V165" s="119">
        <f t="shared" si="46"/>
        <v>6498.4500000000007</v>
      </c>
      <c r="W165" s="116">
        <f t="shared" si="47"/>
        <v>168689.5</v>
      </c>
      <c r="X165" s="120"/>
      <c r="Y165" s="121" t="s">
        <v>1385</v>
      </c>
      <c r="Z165" s="109"/>
    </row>
    <row r="166" spans="1:26">
      <c r="A166" s="6">
        <v>157</v>
      </c>
      <c r="B166" s="109" t="s">
        <v>1539</v>
      </c>
      <c r="C166" s="109" t="s">
        <v>1541</v>
      </c>
      <c r="D166" s="110">
        <v>94655.21</v>
      </c>
      <c r="E166" s="111">
        <v>98535.3</v>
      </c>
      <c r="F166" s="111">
        <v>132939.62</v>
      </c>
      <c r="G166" s="111">
        <v>62785.86</v>
      </c>
      <c r="H166" s="111">
        <v>41416.959999999999</v>
      </c>
      <c r="I166" s="112">
        <v>48388.3</v>
      </c>
      <c r="J166" s="113">
        <v>17664.89</v>
      </c>
      <c r="K166" s="113">
        <v>17762.310000000001</v>
      </c>
      <c r="L166" s="113">
        <v>17860.260000000002</v>
      </c>
      <c r="M166" s="113">
        <v>17958.77</v>
      </c>
      <c r="N166" s="113">
        <v>18057.810000000001</v>
      </c>
      <c r="O166" s="113">
        <v>18157.400000000001</v>
      </c>
      <c r="P166" s="114">
        <v>43434</v>
      </c>
      <c r="Q166" s="115">
        <v>376</v>
      </c>
      <c r="R166" s="116">
        <v>586182.69000000006</v>
      </c>
      <c r="S166" s="109"/>
      <c r="T166" s="117">
        <f t="shared" si="50"/>
        <v>586182.69000000006</v>
      </c>
      <c r="U166" s="118">
        <f t="shared" si="45"/>
        <v>478721.25</v>
      </c>
      <c r="V166" s="119">
        <f t="shared" si="46"/>
        <v>107461.44</v>
      </c>
      <c r="W166" s="116">
        <f t="shared" si="47"/>
        <v>586182.68999999994</v>
      </c>
      <c r="X166" s="120"/>
      <c r="Y166" s="121" t="s">
        <v>1385</v>
      </c>
      <c r="Z166" s="109"/>
    </row>
    <row r="167" spans="1:26">
      <c r="A167" s="6">
        <v>158</v>
      </c>
      <c r="B167" s="129"/>
      <c r="C167" s="130" t="s">
        <v>1542</v>
      </c>
      <c r="D167" s="131">
        <f t="shared" ref="D167:O167" si="51">SUM(D27:D166)</f>
        <v>2036814.9799999995</v>
      </c>
      <c r="E167" s="132">
        <f t="shared" si="51"/>
        <v>2658788.2100000009</v>
      </c>
      <c r="F167" s="132">
        <f t="shared" si="51"/>
        <v>3371657.64</v>
      </c>
      <c r="G167" s="132">
        <f t="shared" si="51"/>
        <v>4094063.9199999995</v>
      </c>
      <c r="H167" s="132">
        <f t="shared" si="51"/>
        <v>5845911.3000000007</v>
      </c>
      <c r="I167" s="133">
        <f t="shared" si="51"/>
        <v>4729305.9600000009</v>
      </c>
      <c r="J167" s="134">
        <f t="shared" si="51"/>
        <v>6979412.2400000012</v>
      </c>
      <c r="K167" s="134">
        <f t="shared" si="51"/>
        <v>7058667.200000002</v>
      </c>
      <c r="L167" s="134">
        <f t="shared" si="51"/>
        <v>6909364.3000000007</v>
      </c>
      <c r="M167" s="134">
        <f t="shared" si="51"/>
        <v>5214083.1999999993</v>
      </c>
      <c r="N167" s="134">
        <f t="shared" si="51"/>
        <v>3522815.0700000003</v>
      </c>
      <c r="O167" s="134">
        <f t="shared" si="51"/>
        <v>3147460.4400000004</v>
      </c>
      <c r="P167" s="135"/>
      <c r="Q167" s="135"/>
      <c r="R167" s="136">
        <f>SUM(R27:R166)</f>
        <v>55568344.459999986</v>
      </c>
      <c r="S167" s="129"/>
      <c r="T167" s="137">
        <f>SUM(T27:T166)</f>
        <v>42871768.677532002</v>
      </c>
      <c r="U167" s="138">
        <f>SUM(U27:U166)</f>
        <v>22736542.010000009</v>
      </c>
      <c r="V167" s="139">
        <f>SUM(V27:V166)</f>
        <v>32831802.450000003</v>
      </c>
      <c r="W167" s="136">
        <f>SUM(W27:W166)</f>
        <v>55568344.459999986</v>
      </c>
      <c r="X167" s="137">
        <f>SUM(X27:X166)</f>
        <v>16197224.664488005</v>
      </c>
      <c r="Y167" s="140"/>
      <c r="Z167" s="129"/>
    </row>
    <row r="168" spans="1:26">
      <c r="B168" s="129"/>
      <c r="C168" s="129"/>
      <c r="D168" s="110"/>
      <c r="E168" s="111"/>
      <c r="F168" s="111"/>
      <c r="G168" s="111"/>
      <c r="H168" s="111"/>
      <c r="I168" s="112"/>
      <c r="J168" s="113"/>
      <c r="K168" s="113"/>
      <c r="L168" s="113"/>
      <c r="M168" s="113"/>
      <c r="N168" s="113"/>
      <c r="O168" s="141"/>
      <c r="P168" s="125"/>
      <c r="Q168" s="125"/>
      <c r="R168" s="116"/>
      <c r="S168" s="129"/>
      <c r="T168" s="144"/>
      <c r="U168" s="118"/>
      <c r="V168" s="119"/>
      <c r="W168" s="116"/>
      <c r="X168" s="144"/>
      <c r="Y168" s="140"/>
      <c r="Z168" s="129"/>
    </row>
    <row r="169" spans="1:26">
      <c r="B169" s="129"/>
      <c r="C169" s="130"/>
      <c r="D169" s="110"/>
      <c r="E169" s="111"/>
      <c r="F169" s="111"/>
      <c r="G169" s="111"/>
      <c r="H169" s="111"/>
      <c r="I169" s="112">
        <f>SUM(D167:I167)</f>
        <v>22736542.010000002</v>
      </c>
      <c r="J169" s="113"/>
      <c r="K169" s="113"/>
      <c r="L169" s="113"/>
      <c r="M169" s="113"/>
      <c r="N169" s="113"/>
      <c r="O169" s="141">
        <f>SUM(J167:O167)</f>
        <v>32831802.450000003</v>
      </c>
      <c r="P169" s="125"/>
      <c r="Q169" s="125"/>
      <c r="R169" s="116"/>
      <c r="S169" s="129"/>
      <c r="T169" s="144"/>
      <c r="U169" s="118"/>
      <c r="V169" s="119"/>
      <c r="W169" s="116"/>
      <c r="X169" s="129"/>
      <c r="Y169" s="140"/>
      <c r="Z169" s="129"/>
    </row>
    <row r="170" spans="1:26">
      <c r="B170" s="129"/>
      <c r="C170" s="129"/>
      <c r="D170" s="110"/>
      <c r="E170" s="111"/>
      <c r="F170" s="111"/>
      <c r="G170" s="111"/>
      <c r="H170" s="111"/>
      <c r="I170" s="112"/>
      <c r="J170" s="113"/>
      <c r="K170" s="113"/>
      <c r="L170" s="113"/>
      <c r="M170" s="113"/>
      <c r="N170" s="113"/>
      <c r="O170" s="141"/>
      <c r="P170" s="125"/>
      <c r="Q170" s="125"/>
      <c r="R170" s="116"/>
      <c r="S170" s="129"/>
      <c r="T170" s="142"/>
      <c r="U170" s="118"/>
      <c r="V170" s="119"/>
      <c r="W170" s="116"/>
      <c r="X170" s="129"/>
      <c r="Y170" s="140"/>
      <c r="Z170" s="129"/>
    </row>
    <row r="171" spans="1:26">
      <c r="A171" s="6">
        <v>159</v>
      </c>
      <c r="B171" s="109" t="s">
        <v>1543</v>
      </c>
      <c r="C171" s="109" t="s">
        <v>1544</v>
      </c>
      <c r="D171" s="110">
        <v>0</v>
      </c>
      <c r="E171" s="111">
        <v>0</v>
      </c>
      <c r="F171" s="111">
        <v>0</v>
      </c>
      <c r="G171" s="111">
        <v>0</v>
      </c>
      <c r="H171" s="111">
        <v>0</v>
      </c>
      <c r="I171" s="112">
        <v>0</v>
      </c>
      <c r="J171" s="113">
        <v>882.87</v>
      </c>
      <c r="K171" s="113">
        <v>882.87</v>
      </c>
      <c r="L171" s="113">
        <v>882.87</v>
      </c>
      <c r="M171" s="113">
        <v>882.87</v>
      </c>
      <c r="N171" s="113">
        <v>882.87</v>
      </c>
      <c r="O171" s="113">
        <v>882.87</v>
      </c>
      <c r="P171" s="114">
        <v>44561</v>
      </c>
      <c r="Q171" s="115">
        <v>396</v>
      </c>
      <c r="R171" s="116">
        <v>5297.22</v>
      </c>
      <c r="S171" s="800">
        <f>+'State Allocation Formulas'!$L$25</f>
        <v>0.77239999999999998</v>
      </c>
      <c r="T171" s="117">
        <f t="shared" ref="T171:T203" si="52">+R171*S171</f>
        <v>4091.5727280000001</v>
      </c>
      <c r="U171" s="118">
        <f t="shared" ref="U171:U203" si="53">SUM(D171:I171)</f>
        <v>0</v>
      </c>
      <c r="V171" s="119">
        <f t="shared" ref="V171:V203" si="54">SUM(J171:O171)</f>
        <v>5297.22</v>
      </c>
      <c r="W171" s="116">
        <f t="shared" ref="W171:W203" si="55">U171+V171</f>
        <v>5297.22</v>
      </c>
      <c r="X171" s="117"/>
      <c r="Y171" s="121" t="s">
        <v>1413</v>
      </c>
      <c r="Z171" s="109"/>
    </row>
    <row r="172" spans="1:26">
      <c r="A172" s="6">
        <v>160</v>
      </c>
      <c r="B172" s="109" t="s">
        <v>1543</v>
      </c>
      <c r="C172" s="109" t="s">
        <v>1545</v>
      </c>
      <c r="D172" s="110">
        <v>2416.65</v>
      </c>
      <c r="E172" s="111">
        <v>1514.64</v>
      </c>
      <c r="F172" s="111">
        <v>4178.3900000000003</v>
      </c>
      <c r="G172" s="111">
        <v>5415.88</v>
      </c>
      <c r="H172" s="111">
        <v>20910.14</v>
      </c>
      <c r="I172" s="112">
        <v>7842</v>
      </c>
      <c r="J172" s="113">
        <v>24341.89</v>
      </c>
      <c r="K172" s="113">
        <v>24341.89</v>
      </c>
      <c r="L172" s="113">
        <v>24341.89</v>
      </c>
      <c r="M172" s="113">
        <v>24341.89</v>
      </c>
      <c r="N172" s="113">
        <v>24341.89</v>
      </c>
      <c r="O172" s="113">
        <v>24341.89</v>
      </c>
      <c r="P172" s="114">
        <v>46022</v>
      </c>
      <c r="Q172" s="115">
        <v>397</v>
      </c>
      <c r="R172" s="116">
        <v>188329.04</v>
      </c>
      <c r="S172" s="800">
        <f>+'State Allocation Formulas'!$L$25</f>
        <v>0.77239999999999998</v>
      </c>
      <c r="T172" s="117">
        <f t="shared" si="52"/>
        <v>145465.350496</v>
      </c>
      <c r="U172" s="118">
        <f t="shared" si="53"/>
        <v>42277.7</v>
      </c>
      <c r="V172" s="119">
        <f t="shared" si="54"/>
        <v>146051.34</v>
      </c>
      <c r="W172" s="116">
        <f t="shared" si="55"/>
        <v>188329.03999999998</v>
      </c>
      <c r="X172" s="117"/>
      <c r="Y172" s="121" t="s">
        <v>1413</v>
      </c>
      <c r="Z172" s="109"/>
    </row>
    <row r="173" spans="1:26">
      <c r="A173" s="6">
        <v>161</v>
      </c>
      <c r="B173" s="109" t="s">
        <v>1543</v>
      </c>
      <c r="C173" s="109" t="s">
        <v>1546</v>
      </c>
      <c r="D173" s="110">
        <v>-1479.5</v>
      </c>
      <c r="E173" s="111">
        <v>-35847.599999999999</v>
      </c>
      <c r="F173" s="111">
        <v>-16293.28</v>
      </c>
      <c r="G173" s="111">
        <v>76220.67</v>
      </c>
      <c r="H173" s="111">
        <v>70334.180000000008</v>
      </c>
      <c r="I173" s="112">
        <v>17524.38</v>
      </c>
      <c r="J173" s="113">
        <v>41495.78</v>
      </c>
      <c r="K173" s="113">
        <v>41495.78</v>
      </c>
      <c r="L173" s="113">
        <v>41495.78</v>
      </c>
      <c r="M173" s="113">
        <v>41495.78</v>
      </c>
      <c r="N173" s="113">
        <v>41495.78</v>
      </c>
      <c r="O173" s="113">
        <v>41495.78</v>
      </c>
      <c r="P173" s="115"/>
      <c r="Q173" s="115"/>
      <c r="R173" s="116">
        <v>359433.53</v>
      </c>
      <c r="S173" s="109"/>
      <c r="T173" s="117"/>
      <c r="U173" s="118">
        <f t="shared" si="53"/>
        <v>110458.85</v>
      </c>
      <c r="V173" s="119">
        <f t="shared" si="54"/>
        <v>248974.68</v>
      </c>
      <c r="W173" s="116">
        <f t="shared" si="55"/>
        <v>359433.53</v>
      </c>
      <c r="X173" s="109"/>
      <c r="Y173" s="121"/>
      <c r="Z173" s="109"/>
    </row>
    <row r="174" spans="1:26">
      <c r="A174" s="6">
        <v>162</v>
      </c>
      <c r="B174" s="109" t="s">
        <v>1543</v>
      </c>
      <c r="C174" s="109" t="s">
        <v>1547</v>
      </c>
      <c r="D174" s="110">
        <v>19901.59</v>
      </c>
      <c r="E174" s="111">
        <v>-600</v>
      </c>
      <c r="F174" s="111">
        <v>0</v>
      </c>
      <c r="G174" s="111">
        <v>0</v>
      </c>
      <c r="H174" s="111">
        <v>-59935.46</v>
      </c>
      <c r="I174" s="112">
        <v>-3426</v>
      </c>
      <c r="J174" s="113">
        <v>47787.65</v>
      </c>
      <c r="K174" s="113">
        <v>47787.65</v>
      </c>
      <c r="L174" s="113">
        <v>47787.65</v>
      </c>
      <c r="M174" s="113">
        <v>47787.65</v>
      </c>
      <c r="N174" s="113">
        <v>47787.65</v>
      </c>
      <c r="O174" s="113">
        <v>47787.65</v>
      </c>
      <c r="P174" s="115"/>
      <c r="Q174" s="115"/>
      <c r="R174" s="116">
        <v>242666.03</v>
      </c>
      <c r="S174" s="109"/>
      <c r="T174" s="117"/>
      <c r="U174" s="118">
        <f t="shared" si="53"/>
        <v>-44059.869999999995</v>
      </c>
      <c r="V174" s="119">
        <f t="shared" si="54"/>
        <v>286725.90000000002</v>
      </c>
      <c r="W174" s="116">
        <f t="shared" si="55"/>
        <v>242666.03000000003</v>
      </c>
      <c r="X174" s="109"/>
      <c r="Y174" s="121"/>
      <c r="Z174" s="109"/>
    </row>
    <row r="175" spans="1:26">
      <c r="A175" s="6">
        <v>163</v>
      </c>
      <c r="B175" s="109" t="s">
        <v>1543</v>
      </c>
      <c r="C175" s="109" t="s">
        <v>1548</v>
      </c>
      <c r="D175" s="110">
        <v>-21843.72</v>
      </c>
      <c r="E175" s="111">
        <v>136006.39999999999</v>
      </c>
      <c r="F175" s="111">
        <v>14779.07</v>
      </c>
      <c r="G175" s="111">
        <v>209749.84</v>
      </c>
      <c r="H175" s="111">
        <v>98505.45</v>
      </c>
      <c r="I175" s="112">
        <v>335275.18</v>
      </c>
      <c r="J175" s="113">
        <v>98096.17</v>
      </c>
      <c r="K175" s="113">
        <v>98096.17</v>
      </c>
      <c r="L175" s="113">
        <v>98096.17</v>
      </c>
      <c r="M175" s="113">
        <v>98096.17</v>
      </c>
      <c r="N175" s="113">
        <v>98096.17</v>
      </c>
      <c r="O175" s="113">
        <v>98096.17</v>
      </c>
      <c r="P175" s="114">
        <v>44926</v>
      </c>
      <c r="Q175" s="115">
        <v>392</v>
      </c>
      <c r="R175" s="116">
        <v>1361049.24</v>
      </c>
      <c r="S175" s="109"/>
      <c r="T175" s="117">
        <f>+R175</f>
        <v>1361049.24</v>
      </c>
      <c r="U175" s="118">
        <f t="shared" si="53"/>
        <v>772472.22</v>
      </c>
      <c r="V175" s="119">
        <f t="shared" si="54"/>
        <v>588577.02</v>
      </c>
      <c r="W175" s="116">
        <f t="shared" si="55"/>
        <v>1361049.24</v>
      </c>
      <c r="X175" s="117"/>
      <c r="Y175" s="121" t="s">
        <v>1413</v>
      </c>
      <c r="Z175" s="109"/>
    </row>
    <row r="176" spans="1:26">
      <c r="A176" s="6">
        <v>164</v>
      </c>
      <c r="B176" s="109" t="s">
        <v>1543</v>
      </c>
      <c r="C176" s="109" t="s">
        <v>1549</v>
      </c>
      <c r="D176" s="110">
        <v>44759.69</v>
      </c>
      <c r="E176" s="111">
        <v>0</v>
      </c>
      <c r="F176" s="111">
        <v>0</v>
      </c>
      <c r="G176" s="111">
        <v>0</v>
      </c>
      <c r="H176" s="111">
        <v>-128283.23</v>
      </c>
      <c r="I176" s="112">
        <v>-4719.57</v>
      </c>
      <c r="J176" s="113">
        <v>131219.44</v>
      </c>
      <c r="K176" s="113">
        <v>131219.44</v>
      </c>
      <c r="L176" s="113">
        <v>131219.44</v>
      </c>
      <c r="M176" s="113">
        <v>131219.44</v>
      </c>
      <c r="N176" s="113">
        <v>131219.44</v>
      </c>
      <c r="O176" s="113">
        <v>131219.44</v>
      </c>
      <c r="P176" s="114">
        <v>44926</v>
      </c>
      <c r="Q176" s="115">
        <v>396</v>
      </c>
      <c r="R176" s="116">
        <v>699073.53</v>
      </c>
      <c r="S176" s="109"/>
      <c r="T176" s="117">
        <f t="shared" ref="T176:T177" si="56">+R176</f>
        <v>699073.53</v>
      </c>
      <c r="U176" s="118">
        <f t="shared" si="53"/>
        <v>-88243.109999999986</v>
      </c>
      <c r="V176" s="119">
        <f t="shared" si="54"/>
        <v>787316.6399999999</v>
      </c>
      <c r="W176" s="116">
        <f t="shared" si="55"/>
        <v>699073.52999999991</v>
      </c>
      <c r="X176" s="117"/>
      <c r="Y176" s="121" t="s">
        <v>1413</v>
      </c>
      <c r="Z176" s="109"/>
    </row>
    <row r="177" spans="1:26">
      <c r="A177" s="6">
        <v>165</v>
      </c>
      <c r="B177" s="109" t="s">
        <v>1543</v>
      </c>
      <c r="C177" s="109" t="s">
        <v>1550</v>
      </c>
      <c r="D177" s="110">
        <v>1059.77</v>
      </c>
      <c r="E177" s="111">
        <v>0</v>
      </c>
      <c r="F177" s="111">
        <v>0</v>
      </c>
      <c r="G177" s="111">
        <v>0</v>
      </c>
      <c r="H177" s="111">
        <v>0</v>
      </c>
      <c r="I177" s="112">
        <v>0</v>
      </c>
      <c r="J177" s="113">
        <v>0</v>
      </c>
      <c r="K177" s="113">
        <v>0</v>
      </c>
      <c r="L177" s="113">
        <v>0</v>
      </c>
      <c r="M177" s="113">
        <v>0</v>
      </c>
      <c r="N177" s="113">
        <v>0</v>
      </c>
      <c r="O177" s="113">
        <v>0</v>
      </c>
      <c r="P177" s="114">
        <v>46022</v>
      </c>
      <c r="Q177" s="115">
        <v>397</v>
      </c>
      <c r="R177" s="116">
        <v>1059.77</v>
      </c>
      <c r="S177" s="109"/>
      <c r="T177" s="117">
        <f t="shared" si="56"/>
        <v>1059.77</v>
      </c>
      <c r="U177" s="118">
        <f t="shared" si="53"/>
        <v>1059.77</v>
      </c>
      <c r="V177" s="119">
        <f t="shared" si="54"/>
        <v>0</v>
      </c>
      <c r="W177" s="116">
        <f t="shared" si="55"/>
        <v>1059.77</v>
      </c>
      <c r="X177" s="117"/>
      <c r="Y177" s="121" t="s">
        <v>1413</v>
      </c>
      <c r="Z177" s="109"/>
    </row>
    <row r="178" spans="1:26">
      <c r="A178" s="6">
        <v>166</v>
      </c>
      <c r="B178" s="109" t="s">
        <v>1543</v>
      </c>
      <c r="C178" s="109" t="s">
        <v>1551</v>
      </c>
      <c r="D178" s="110">
        <v>225.18</v>
      </c>
      <c r="E178" s="111">
        <v>226.54</v>
      </c>
      <c r="F178" s="111">
        <v>-2051.9700000000003</v>
      </c>
      <c r="G178" s="111">
        <v>0</v>
      </c>
      <c r="H178" s="111">
        <v>0</v>
      </c>
      <c r="I178" s="112">
        <v>0</v>
      </c>
      <c r="J178" s="113">
        <v>0</v>
      </c>
      <c r="K178" s="113">
        <v>0</v>
      </c>
      <c r="L178" s="113">
        <v>0</v>
      </c>
      <c r="M178" s="113">
        <v>0</v>
      </c>
      <c r="N178" s="113">
        <v>0</v>
      </c>
      <c r="O178" s="113">
        <v>0</v>
      </c>
      <c r="P178" s="114">
        <v>46022</v>
      </c>
      <c r="Q178" s="115">
        <v>390</v>
      </c>
      <c r="R178" s="116">
        <v>-1600.25</v>
      </c>
      <c r="S178" s="800">
        <f>+'State Allocation Formulas'!$L$25</f>
        <v>0.77239999999999998</v>
      </c>
      <c r="T178" s="117">
        <f t="shared" si="52"/>
        <v>-1236.0330999999999</v>
      </c>
      <c r="U178" s="118">
        <f t="shared" si="53"/>
        <v>-1600.2500000000002</v>
      </c>
      <c r="V178" s="119">
        <f t="shared" si="54"/>
        <v>0</v>
      </c>
      <c r="W178" s="116">
        <f t="shared" si="55"/>
        <v>-1600.2500000000002</v>
      </c>
      <c r="X178" s="117"/>
      <c r="Y178" s="121" t="s">
        <v>1413</v>
      </c>
      <c r="Z178" s="109"/>
    </row>
    <row r="179" spans="1:26">
      <c r="A179" s="6">
        <v>167</v>
      </c>
      <c r="B179" s="109" t="s">
        <v>1543</v>
      </c>
      <c r="C179" s="109" t="s">
        <v>1552</v>
      </c>
      <c r="D179" s="110">
        <v>-21753.350000000002</v>
      </c>
      <c r="E179" s="111">
        <v>2941.76</v>
      </c>
      <c r="F179" s="111">
        <v>-495.14</v>
      </c>
      <c r="G179" s="111">
        <v>-5000</v>
      </c>
      <c r="H179" s="111">
        <v>0</v>
      </c>
      <c r="I179" s="112">
        <v>0</v>
      </c>
      <c r="J179" s="113">
        <v>7350.29</v>
      </c>
      <c r="K179" s="113">
        <v>7350.29</v>
      </c>
      <c r="L179" s="113">
        <v>7350.29</v>
      </c>
      <c r="M179" s="113">
        <v>7350.29</v>
      </c>
      <c r="N179" s="113">
        <v>7350.29</v>
      </c>
      <c r="O179" s="113">
        <v>7350.29</v>
      </c>
      <c r="P179" s="114">
        <v>44926</v>
      </c>
      <c r="Q179" s="115">
        <v>392</v>
      </c>
      <c r="R179" s="116">
        <v>19795.010000000002</v>
      </c>
      <c r="S179" s="800">
        <f>+'State Allocation Formulas'!$L$25</f>
        <v>0.77239999999999998</v>
      </c>
      <c r="T179" s="117">
        <f t="shared" si="52"/>
        <v>15289.665724</v>
      </c>
      <c r="U179" s="118">
        <f t="shared" si="53"/>
        <v>-24306.730000000003</v>
      </c>
      <c r="V179" s="119">
        <f t="shared" si="54"/>
        <v>44101.74</v>
      </c>
      <c r="W179" s="116">
        <f t="shared" si="55"/>
        <v>19795.009999999995</v>
      </c>
      <c r="X179" s="117"/>
      <c r="Y179" s="121" t="s">
        <v>1413</v>
      </c>
      <c r="Z179" s="109"/>
    </row>
    <row r="180" spans="1:26">
      <c r="A180" s="6">
        <v>168</v>
      </c>
      <c r="B180" s="109" t="s">
        <v>1543</v>
      </c>
      <c r="C180" s="109" t="s">
        <v>1553</v>
      </c>
      <c r="D180" s="110">
        <v>24589.55</v>
      </c>
      <c r="E180" s="111">
        <v>83.99</v>
      </c>
      <c r="F180" s="111">
        <v>1389.16</v>
      </c>
      <c r="G180" s="111">
        <v>4571.34</v>
      </c>
      <c r="H180" s="111">
        <v>498.01</v>
      </c>
      <c r="I180" s="112">
        <v>5446.72</v>
      </c>
      <c r="J180" s="113">
        <v>0</v>
      </c>
      <c r="K180" s="113">
        <v>0</v>
      </c>
      <c r="L180" s="113">
        <v>0</v>
      </c>
      <c r="M180" s="113">
        <v>0</v>
      </c>
      <c r="N180" s="113">
        <v>0</v>
      </c>
      <c r="O180" s="113">
        <v>0</v>
      </c>
      <c r="P180" s="114">
        <v>46022</v>
      </c>
      <c r="Q180" s="115">
        <v>394</v>
      </c>
      <c r="R180" s="116">
        <v>36578.770000000004</v>
      </c>
      <c r="S180" s="800">
        <f>+'State Allocation Formulas'!$L$25</f>
        <v>0.77239999999999998</v>
      </c>
      <c r="T180" s="117">
        <f t="shared" si="52"/>
        <v>28253.441948000003</v>
      </c>
      <c r="U180" s="118">
        <f t="shared" si="53"/>
        <v>36578.769999999997</v>
      </c>
      <c r="V180" s="119">
        <f t="shared" si="54"/>
        <v>0</v>
      </c>
      <c r="W180" s="116">
        <f t="shared" si="55"/>
        <v>36578.769999999997</v>
      </c>
      <c r="X180" s="117"/>
      <c r="Y180" s="121" t="s">
        <v>1413</v>
      </c>
      <c r="Z180" s="109"/>
    </row>
    <row r="181" spans="1:26">
      <c r="A181" s="6">
        <v>169</v>
      </c>
      <c r="B181" s="109" t="s">
        <v>1543</v>
      </c>
      <c r="C181" s="109" t="s">
        <v>1554</v>
      </c>
      <c r="D181" s="110">
        <v>0</v>
      </c>
      <c r="E181" s="111">
        <v>0</v>
      </c>
      <c r="F181" s="111">
        <v>5409.36</v>
      </c>
      <c r="G181" s="111">
        <v>12679.99</v>
      </c>
      <c r="H181" s="111">
        <v>8605.64</v>
      </c>
      <c r="I181" s="112">
        <v>8</v>
      </c>
      <c r="J181" s="113">
        <v>0</v>
      </c>
      <c r="K181" s="113">
        <v>0</v>
      </c>
      <c r="L181" s="113">
        <v>0</v>
      </c>
      <c r="M181" s="113">
        <v>0</v>
      </c>
      <c r="N181" s="113">
        <v>0</v>
      </c>
      <c r="O181" s="113">
        <v>0</v>
      </c>
      <c r="P181" s="115"/>
      <c r="Q181" s="115"/>
      <c r="R181" s="116">
        <v>26702.99</v>
      </c>
      <c r="S181" s="109"/>
      <c r="T181" s="117"/>
      <c r="U181" s="118">
        <f t="shared" si="53"/>
        <v>26702.989999999998</v>
      </c>
      <c r="V181" s="119">
        <f t="shared" si="54"/>
        <v>0</v>
      </c>
      <c r="W181" s="116">
        <f t="shared" si="55"/>
        <v>26702.989999999998</v>
      </c>
      <c r="X181" s="109"/>
      <c r="Y181" s="121"/>
      <c r="Z181" s="109"/>
    </row>
    <row r="182" spans="1:26">
      <c r="A182" s="6">
        <v>170</v>
      </c>
      <c r="B182" s="109" t="s">
        <v>1543</v>
      </c>
      <c r="C182" s="109" t="s">
        <v>1555</v>
      </c>
      <c r="D182" s="110">
        <v>6249.31</v>
      </c>
      <c r="E182" s="111">
        <v>0</v>
      </c>
      <c r="F182" s="111">
        <v>2900.9</v>
      </c>
      <c r="G182" s="111">
        <v>0</v>
      </c>
      <c r="H182" s="111">
        <v>0</v>
      </c>
      <c r="I182" s="112">
        <v>0</v>
      </c>
      <c r="J182" s="113">
        <v>1794</v>
      </c>
      <c r="K182" s="113">
        <v>1794</v>
      </c>
      <c r="L182" s="113">
        <v>1794</v>
      </c>
      <c r="M182" s="113">
        <v>1794</v>
      </c>
      <c r="N182" s="113">
        <v>1794</v>
      </c>
      <c r="O182" s="113">
        <v>1794</v>
      </c>
      <c r="P182" s="115"/>
      <c r="Q182" s="115"/>
      <c r="R182" s="116">
        <v>19914.21</v>
      </c>
      <c r="S182" s="109"/>
      <c r="T182" s="117"/>
      <c r="U182" s="118">
        <f t="shared" si="53"/>
        <v>9150.2100000000009</v>
      </c>
      <c r="V182" s="119">
        <f t="shared" si="54"/>
        <v>10764</v>
      </c>
      <c r="W182" s="116">
        <f t="shared" si="55"/>
        <v>19914.21</v>
      </c>
      <c r="X182" s="109"/>
      <c r="Y182" s="121"/>
      <c r="Z182" s="109"/>
    </row>
    <row r="183" spans="1:26">
      <c r="A183" s="6">
        <v>171</v>
      </c>
      <c r="B183" s="109" t="s">
        <v>1543</v>
      </c>
      <c r="C183" s="109" t="s">
        <v>1556</v>
      </c>
      <c r="D183" s="110">
        <v>49.17</v>
      </c>
      <c r="E183" s="111">
        <v>0</v>
      </c>
      <c r="F183" s="111">
        <v>0</v>
      </c>
      <c r="G183" s="111">
        <v>6450.03</v>
      </c>
      <c r="H183" s="111">
        <v>0</v>
      </c>
      <c r="I183" s="112">
        <v>3595.55</v>
      </c>
      <c r="J183" s="113">
        <v>0</v>
      </c>
      <c r="K183" s="113">
        <v>0</v>
      </c>
      <c r="L183" s="113">
        <v>0</v>
      </c>
      <c r="M183" s="113">
        <v>0</v>
      </c>
      <c r="N183" s="113">
        <v>0</v>
      </c>
      <c r="O183" s="113">
        <v>0</v>
      </c>
      <c r="P183" s="114">
        <v>46022</v>
      </c>
      <c r="Q183" s="115">
        <v>394</v>
      </c>
      <c r="R183" s="116">
        <v>10094.75</v>
      </c>
      <c r="S183" s="109"/>
      <c r="T183" s="117">
        <f>+R183</f>
        <v>10094.75</v>
      </c>
      <c r="U183" s="118">
        <f t="shared" si="53"/>
        <v>10094.75</v>
      </c>
      <c r="V183" s="119">
        <f t="shared" si="54"/>
        <v>0</v>
      </c>
      <c r="W183" s="116">
        <f t="shared" si="55"/>
        <v>10094.75</v>
      </c>
      <c r="X183" s="117"/>
      <c r="Y183" s="121" t="s">
        <v>1413</v>
      </c>
      <c r="Z183" s="109"/>
    </row>
    <row r="184" spans="1:26">
      <c r="A184" s="6">
        <v>172</v>
      </c>
      <c r="B184" s="109" t="s">
        <v>1543</v>
      </c>
      <c r="C184" s="109" t="s">
        <v>1557</v>
      </c>
      <c r="D184" s="110">
        <v>0</v>
      </c>
      <c r="E184" s="111">
        <v>0</v>
      </c>
      <c r="F184" s="111">
        <v>0</v>
      </c>
      <c r="G184" s="111">
        <v>0</v>
      </c>
      <c r="H184" s="111">
        <v>0</v>
      </c>
      <c r="I184" s="112">
        <v>1842.79</v>
      </c>
      <c r="J184" s="113">
        <v>0</v>
      </c>
      <c r="K184" s="113">
        <v>0</v>
      </c>
      <c r="L184" s="113">
        <v>0</v>
      </c>
      <c r="M184" s="113">
        <v>0</v>
      </c>
      <c r="N184" s="113">
        <v>0</v>
      </c>
      <c r="O184" s="113">
        <v>0</v>
      </c>
      <c r="P184" s="114">
        <v>46022</v>
      </c>
      <c r="Q184" s="115">
        <v>391</v>
      </c>
      <c r="R184" s="116">
        <v>1842.79</v>
      </c>
      <c r="S184" s="800">
        <f>+'State Allocation Formulas'!$L$25</f>
        <v>0.77239999999999998</v>
      </c>
      <c r="T184" s="117">
        <f t="shared" si="52"/>
        <v>1423.3709959999999</v>
      </c>
      <c r="U184" s="118">
        <f t="shared" si="53"/>
        <v>1842.79</v>
      </c>
      <c r="V184" s="119">
        <f t="shared" si="54"/>
        <v>0</v>
      </c>
      <c r="W184" s="116">
        <f t="shared" si="55"/>
        <v>1842.79</v>
      </c>
      <c r="X184" s="117"/>
      <c r="Y184" s="121" t="s">
        <v>1413</v>
      </c>
      <c r="Z184" s="109"/>
    </row>
    <row r="185" spans="1:26">
      <c r="A185" s="6">
        <v>173</v>
      </c>
      <c r="B185" s="109" t="s">
        <v>1543</v>
      </c>
      <c r="C185" s="109" t="s">
        <v>1558</v>
      </c>
      <c r="D185" s="110">
        <v>7287.07</v>
      </c>
      <c r="E185" s="111">
        <v>20506.060000000001</v>
      </c>
      <c r="F185" s="111">
        <v>2035.5900000000001</v>
      </c>
      <c r="G185" s="111">
        <v>13952</v>
      </c>
      <c r="H185" s="111">
        <v>32177.72</v>
      </c>
      <c r="I185" s="112">
        <v>500.24</v>
      </c>
      <c r="J185" s="113">
        <v>0</v>
      </c>
      <c r="K185" s="113">
        <v>0</v>
      </c>
      <c r="L185" s="113">
        <v>0</v>
      </c>
      <c r="M185" s="113">
        <v>0</v>
      </c>
      <c r="N185" s="113">
        <v>0</v>
      </c>
      <c r="O185" s="113">
        <v>0</v>
      </c>
      <c r="P185" s="114">
        <v>46022</v>
      </c>
      <c r="Q185" s="115">
        <v>390</v>
      </c>
      <c r="R185" s="116">
        <v>76458.680000000008</v>
      </c>
      <c r="S185" s="109"/>
      <c r="T185" s="117">
        <f>+R185</f>
        <v>76458.680000000008</v>
      </c>
      <c r="U185" s="118">
        <f t="shared" si="53"/>
        <v>76458.680000000008</v>
      </c>
      <c r="V185" s="119">
        <f t="shared" si="54"/>
        <v>0</v>
      </c>
      <c r="W185" s="116">
        <f t="shared" si="55"/>
        <v>76458.680000000008</v>
      </c>
      <c r="X185" s="117">
        <f t="shared" ref="X185:X189" si="57">+T185</f>
        <v>76458.680000000008</v>
      </c>
      <c r="Y185" s="121">
        <v>13</v>
      </c>
      <c r="Z185" s="109"/>
    </row>
    <row r="186" spans="1:26">
      <c r="A186" s="6">
        <v>174</v>
      </c>
      <c r="B186" s="109" t="s">
        <v>1543</v>
      </c>
      <c r="C186" s="109" t="s">
        <v>1559</v>
      </c>
      <c r="D186" s="110">
        <v>6250</v>
      </c>
      <c r="E186" s="111">
        <v>0</v>
      </c>
      <c r="F186" s="111">
        <v>3211.78</v>
      </c>
      <c r="G186" s="111">
        <v>0</v>
      </c>
      <c r="H186" s="111">
        <v>0</v>
      </c>
      <c r="I186" s="112">
        <v>0</v>
      </c>
      <c r="J186" s="113">
        <v>0</v>
      </c>
      <c r="K186" s="113">
        <v>0</v>
      </c>
      <c r="L186" s="113">
        <v>0</v>
      </c>
      <c r="M186" s="113">
        <v>0</v>
      </c>
      <c r="N186" s="113">
        <v>0</v>
      </c>
      <c r="O186" s="113">
        <v>0</v>
      </c>
      <c r="P186" s="114">
        <v>46022</v>
      </c>
      <c r="Q186" s="115">
        <v>394</v>
      </c>
      <c r="R186" s="116">
        <v>9461.7800000000007</v>
      </c>
      <c r="S186" s="109"/>
      <c r="T186" s="117">
        <f>+R186</f>
        <v>9461.7800000000007</v>
      </c>
      <c r="U186" s="118">
        <f t="shared" si="53"/>
        <v>9461.7800000000007</v>
      </c>
      <c r="V186" s="119">
        <f t="shared" si="54"/>
        <v>0</v>
      </c>
      <c r="W186" s="116">
        <f t="shared" si="55"/>
        <v>9461.7800000000007</v>
      </c>
      <c r="X186" s="117">
        <f t="shared" si="57"/>
        <v>9461.7800000000007</v>
      </c>
      <c r="Y186" s="121">
        <v>12</v>
      </c>
      <c r="Z186" s="109"/>
    </row>
    <row r="187" spans="1:26">
      <c r="A187" s="6">
        <v>175</v>
      </c>
      <c r="B187" s="109" t="s">
        <v>1543</v>
      </c>
      <c r="C187" s="109" t="s">
        <v>1560</v>
      </c>
      <c r="D187" s="110">
        <v>1181.8900000000001</v>
      </c>
      <c r="E187" s="111">
        <v>0</v>
      </c>
      <c r="F187" s="111">
        <v>0</v>
      </c>
      <c r="G187" s="111">
        <v>0</v>
      </c>
      <c r="H187" s="111">
        <v>0</v>
      </c>
      <c r="I187" s="112">
        <v>9127.9600000000009</v>
      </c>
      <c r="J187" s="113">
        <v>0</v>
      </c>
      <c r="K187" s="113">
        <v>0</v>
      </c>
      <c r="L187" s="113">
        <v>0</v>
      </c>
      <c r="M187" s="113">
        <v>0</v>
      </c>
      <c r="N187" s="113">
        <v>0</v>
      </c>
      <c r="O187" s="113">
        <v>0</v>
      </c>
      <c r="P187" s="114">
        <v>46022</v>
      </c>
      <c r="Q187" s="115">
        <v>394</v>
      </c>
      <c r="R187" s="116">
        <v>10309.85</v>
      </c>
      <c r="S187" s="109"/>
      <c r="T187" s="117">
        <f t="shared" ref="T187:T195" si="58">+R187</f>
        <v>10309.85</v>
      </c>
      <c r="U187" s="118">
        <f t="shared" si="53"/>
        <v>10309.85</v>
      </c>
      <c r="V187" s="119">
        <f t="shared" si="54"/>
        <v>0</v>
      </c>
      <c r="W187" s="116">
        <f t="shared" si="55"/>
        <v>10309.85</v>
      </c>
      <c r="X187" s="117"/>
      <c r="Y187" s="121" t="s">
        <v>1413</v>
      </c>
      <c r="Z187" s="109"/>
    </row>
    <row r="188" spans="1:26">
      <c r="A188" s="6">
        <v>176</v>
      </c>
      <c r="B188" s="109" t="s">
        <v>1543</v>
      </c>
      <c r="C188" s="109" t="s">
        <v>1561</v>
      </c>
      <c r="D188" s="110">
        <v>0</v>
      </c>
      <c r="E188" s="111">
        <v>0</v>
      </c>
      <c r="F188" s="111">
        <v>653.37</v>
      </c>
      <c r="G188" s="111">
        <v>0</v>
      </c>
      <c r="H188" s="111">
        <v>0</v>
      </c>
      <c r="I188" s="112">
        <v>1547.73</v>
      </c>
      <c r="J188" s="113">
        <v>0</v>
      </c>
      <c r="K188" s="113">
        <v>0</v>
      </c>
      <c r="L188" s="113">
        <v>0</v>
      </c>
      <c r="M188" s="113">
        <v>0</v>
      </c>
      <c r="N188" s="113">
        <v>0</v>
      </c>
      <c r="O188" s="113">
        <v>0</v>
      </c>
      <c r="P188" s="114">
        <v>46022</v>
      </c>
      <c r="Q188" s="115">
        <v>392</v>
      </c>
      <c r="R188" s="116">
        <v>2201.1</v>
      </c>
      <c r="S188" s="109"/>
      <c r="T188" s="117">
        <f t="shared" si="58"/>
        <v>2201.1</v>
      </c>
      <c r="U188" s="118">
        <f t="shared" si="53"/>
        <v>2201.1</v>
      </c>
      <c r="V188" s="119">
        <f t="shared" si="54"/>
        <v>0</v>
      </c>
      <c r="W188" s="116">
        <f t="shared" si="55"/>
        <v>2201.1</v>
      </c>
      <c r="X188" s="117">
        <f t="shared" si="57"/>
        <v>2201.1</v>
      </c>
      <c r="Y188" s="121">
        <v>10</v>
      </c>
      <c r="Z188" s="109"/>
    </row>
    <row r="189" spans="1:26">
      <c r="A189" s="6">
        <v>177</v>
      </c>
      <c r="B189" s="109" t="s">
        <v>1543</v>
      </c>
      <c r="C189" s="109" t="s">
        <v>1562</v>
      </c>
      <c r="D189" s="110">
        <v>5780.39</v>
      </c>
      <c r="E189" s="111">
        <v>0</v>
      </c>
      <c r="F189" s="111">
        <v>0</v>
      </c>
      <c r="G189" s="111">
        <v>0</v>
      </c>
      <c r="H189" s="111">
        <v>0</v>
      </c>
      <c r="I189" s="112">
        <v>0</v>
      </c>
      <c r="J189" s="113">
        <v>0</v>
      </c>
      <c r="K189" s="113">
        <v>0</v>
      </c>
      <c r="L189" s="113">
        <v>0</v>
      </c>
      <c r="M189" s="113">
        <v>0</v>
      </c>
      <c r="N189" s="113">
        <v>0</v>
      </c>
      <c r="O189" s="113">
        <v>0</v>
      </c>
      <c r="P189" s="114">
        <v>46022</v>
      </c>
      <c r="Q189" s="115">
        <v>394</v>
      </c>
      <c r="R189" s="116">
        <v>5780.39</v>
      </c>
      <c r="S189" s="109"/>
      <c r="T189" s="117">
        <f t="shared" si="58"/>
        <v>5780.39</v>
      </c>
      <c r="U189" s="118">
        <f t="shared" si="53"/>
        <v>5780.39</v>
      </c>
      <c r="V189" s="119">
        <f t="shared" si="54"/>
        <v>0</v>
      </c>
      <c r="W189" s="116">
        <f t="shared" si="55"/>
        <v>5780.39</v>
      </c>
      <c r="X189" s="117">
        <f t="shared" si="57"/>
        <v>5780.39</v>
      </c>
      <c r="Y189" s="121">
        <v>11</v>
      </c>
      <c r="Z189" s="109"/>
    </row>
    <row r="190" spans="1:26">
      <c r="A190" s="6">
        <v>178</v>
      </c>
      <c r="B190" s="109" t="s">
        <v>1543</v>
      </c>
      <c r="C190" s="109" t="s">
        <v>1563</v>
      </c>
      <c r="D190" s="110">
        <v>0</v>
      </c>
      <c r="E190" s="111">
        <v>0</v>
      </c>
      <c r="F190" s="111">
        <v>0</v>
      </c>
      <c r="G190" s="111">
        <v>0</v>
      </c>
      <c r="H190" s="111">
        <v>224.44</v>
      </c>
      <c r="I190" s="112">
        <v>225.69</v>
      </c>
      <c r="J190" s="113">
        <v>0</v>
      </c>
      <c r="K190" s="113">
        <v>0</v>
      </c>
      <c r="L190" s="113">
        <v>0</v>
      </c>
      <c r="M190" s="113">
        <v>0</v>
      </c>
      <c r="N190" s="113">
        <v>0</v>
      </c>
      <c r="O190" s="113">
        <v>0</v>
      </c>
      <c r="P190" s="114">
        <v>46022</v>
      </c>
      <c r="Q190" s="115">
        <v>392</v>
      </c>
      <c r="R190" s="116">
        <v>450.13</v>
      </c>
      <c r="S190" s="109"/>
      <c r="T190" s="117">
        <f t="shared" si="58"/>
        <v>450.13</v>
      </c>
      <c r="U190" s="118">
        <f t="shared" si="53"/>
        <v>450.13</v>
      </c>
      <c r="V190" s="119">
        <f t="shared" si="54"/>
        <v>0</v>
      </c>
      <c r="W190" s="116">
        <f t="shared" si="55"/>
        <v>450.13</v>
      </c>
      <c r="X190" s="117"/>
      <c r="Y190" s="121" t="s">
        <v>1413</v>
      </c>
      <c r="Z190" s="109"/>
    </row>
    <row r="191" spans="1:26">
      <c r="A191" s="6">
        <v>179</v>
      </c>
      <c r="B191" s="109" t="s">
        <v>1543</v>
      </c>
      <c r="C191" s="109" t="s">
        <v>1564</v>
      </c>
      <c r="D191" s="110">
        <v>3320.35</v>
      </c>
      <c r="E191" s="111">
        <v>0</v>
      </c>
      <c r="F191" s="111">
        <v>-0.01</v>
      </c>
      <c r="G191" s="111">
        <v>0</v>
      </c>
      <c r="H191" s="111">
        <v>0</v>
      </c>
      <c r="I191" s="112">
        <v>0</v>
      </c>
      <c r="J191" s="113">
        <v>0</v>
      </c>
      <c r="K191" s="113">
        <v>0</v>
      </c>
      <c r="L191" s="113">
        <v>0</v>
      </c>
      <c r="M191" s="113">
        <v>0</v>
      </c>
      <c r="N191" s="113">
        <v>0</v>
      </c>
      <c r="O191" s="113">
        <v>0</v>
      </c>
      <c r="P191" s="114">
        <v>46022</v>
      </c>
      <c r="Q191" s="115">
        <v>391</v>
      </c>
      <c r="R191" s="116">
        <v>3320.34</v>
      </c>
      <c r="S191" s="109"/>
      <c r="T191" s="117">
        <f t="shared" si="58"/>
        <v>3320.34</v>
      </c>
      <c r="U191" s="118">
        <f t="shared" si="53"/>
        <v>3320.3399999999997</v>
      </c>
      <c r="V191" s="119">
        <f t="shared" si="54"/>
        <v>0</v>
      </c>
      <c r="W191" s="116">
        <f t="shared" si="55"/>
        <v>3320.3399999999997</v>
      </c>
      <c r="X191" s="117"/>
      <c r="Y191" s="121" t="s">
        <v>1413</v>
      </c>
      <c r="Z191" s="109"/>
    </row>
    <row r="192" spans="1:26">
      <c r="A192" s="6">
        <v>180</v>
      </c>
      <c r="B192" s="109" t="s">
        <v>1543</v>
      </c>
      <c r="C192" s="109" t="s">
        <v>1565</v>
      </c>
      <c r="D192" s="110">
        <v>809.29</v>
      </c>
      <c r="E192" s="111">
        <v>0</v>
      </c>
      <c r="F192" s="111">
        <v>0</v>
      </c>
      <c r="G192" s="111">
        <v>0</v>
      </c>
      <c r="H192" s="111">
        <v>0</v>
      </c>
      <c r="I192" s="112">
        <v>0</v>
      </c>
      <c r="J192" s="113">
        <v>0</v>
      </c>
      <c r="K192" s="113">
        <v>0</v>
      </c>
      <c r="L192" s="113">
        <v>0</v>
      </c>
      <c r="M192" s="113">
        <v>0</v>
      </c>
      <c r="N192" s="113">
        <v>0</v>
      </c>
      <c r="O192" s="113">
        <v>0</v>
      </c>
      <c r="P192" s="114">
        <v>46022</v>
      </c>
      <c r="Q192" s="115">
        <v>394</v>
      </c>
      <c r="R192" s="116">
        <v>809.29</v>
      </c>
      <c r="S192" s="109"/>
      <c r="T192" s="117">
        <f t="shared" si="58"/>
        <v>809.29</v>
      </c>
      <c r="U192" s="118">
        <f t="shared" si="53"/>
        <v>809.29</v>
      </c>
      <c r="V192" s="119">
        <f t="shared" si="54"/>
        <v>0</v>
      </c>
      <c r="W192" s="116">
        <f t="shared" si="55"/>
        <v>809.29</v>
      </c>
      <c r="X192" s="117"/>
      <c r="Y192" s="121" t="s">
        <v>1413</v>
      </c>
      <c r="Z192" s="109"/>
    </row>
    <row r="193" spans="1:28">
      <c r="A193" s="6">
        <v>181</v>
      </c>
      <c r="B193" s="109" t="s">
        <v>1543</v>
      </c>
      <c r="C193" s="109" t="s">
        <v>1566</v>
      </c>
      <c r="D193" s="110">
        <v>0</v>
      </c>
      <c r="E193" s="111">
        <v>6356.6500000000005</v>
      </c>
      <c r="F193" s="111">
        <v>0</v>
      </c>
      <c r="G193" s="111">
        <v>0</v>
      </c>
      <c r="H193" s="111">
        <v>-451.18</v>
      </c>
      <c r="I193" s="112">
        <v>0</v>
      </c>
      <c r="J193" s="113">
        <v>0</v>
      </c>
      <c r="K193" s="113">
        <v>0</v>
      </c>
      <c r="L193" s="113">
        <v>0</v>
      </c>
      <c r="M193" s="113">
        <v>0</v>
      </c>
      <c r="N193" s="113">
        <v>0</v>
      </c>
      <c r="O193" s="113">
        <v>0</v>
      </c>
      <c r="P193" s="114">
        <v>46022</v>
      </c>
      <c r="Q193" s="115">
        <v>392</v>
      </c>
      <c r="R193" s="116">
        <v>5905.47</v>
      </c>
      <c r="S193" s="109"/>
      <c r="T193" s="117">
        <f t="shared" si="58"/>
        <v>5905.47</v>
      </c>
      <c r="U193" s="118">
        <f t="shared" si="53"/>
        <v>5905.47</v>
      </c>
      <c r="V193" s="119">
        <f t="shared" si="54"/>
        <v>0</v>
      </c>
      <c r="W193" s="116">
        <f t="shared" si="55"/>
        <v>5905.47</v>
      </c>
      <c r="X193" s="117"/>
      <c r="Y193" s="121" t="s">
        <v>1413</v>
      </c>
      <c r="Z193" s="109"/>
    </row>
    <row r="194" spans="1:28">
      <c r="A194" s="6">
        <v>182</v>
      </c>
      <c r="B194" s="109" t="s">
        <v>1543</v>
      </c>
      <c r="C194" s="109" t="s">
        <v>1567</v>
      </c>
      <c r="D194" s="110">
        <v>0</v>
      </c>
      <c r="E194" s="111">
        <v>7009.27</v>
      </c>
      <c r="F194" s="111">
        <v>0</v>
      </c>
      <c r="G194" s="111">
        <v>0</v>
      </c>
      <c r="H194" s="111">
        <v>0</v>
      </c>
      <c r="I194" s="112">
        <v>0</v>
      </c>
      <c r="J194" s="113">
        <v>0</v>
      </c>
      <c r="K194" s="113">
        <v>0</v>
      </c>
      <c r="L194" s="113">
        <v>0</v>
      </c>
      <c r="M194" s="113">
        <v>0</v>
      </c>
      <c r="N194" s="113">
        <v>0</v>
      </c>
      <c r="O194" s="113">
        <v>0</v>
      </c>
      <c r="P194" s="114">
        <v>46022</v>
      </c>
      <c r="Q194" s="115">
        <v>392</v>
      </c>
      <c r="R194" s="116">
        <v>7009.27</v>
      </c>
      <c r="S194" s="109"/>
      <c r="T194" s="117">
        <f t="shared" si="58"/>
        <v>7009.27</v>
      </c>
      <c r="U194" s="118">
        <f t="shared" si="53"/>
        <v>7009.27</v>
      </c>
      <c r="V194" s="119">
        <f t="shared" si="54"/>
        <v>0</v>
      </c>
      <c r="W194" s="116">
        <f t="shared" si="55"/>
        <v>7009.27</v>
      </c>
      <c r="X194" s="117"/>
      <c r="Y194" s="121" t="s">
        <v>1413</v>
      </c>
      <c r="Z194" s="109"/>
    </row>
    <row r="195" spans="1:28">
      <c r="A195" s="6">
        <v>183</v>
      </c>
      <c r="B195" s="109" t="s">
        <v>1543</v>
      </c>
      <c r="C195" s="109" t="s">
        <v>1568</v>
      </c>
      <c r="D195" s="110">
        <v>-12817.14</v>
      </c>
      <c r="E195" s="111">
        <v>8205.0400000000009</v>
      </c>
      <c r="F195" s="111">
        <v>0</v>
      </c>
      <c r="G195" s="111">
        <v>0</v>
      </c>
      <c r="H195" s="111">
        <v>0</v>
      </c>
      <c r="I195" s="112">
        <v>6241.9400000000005</v>
      </c>
      <c r="J195" s="113">
        <v>0</v>
      </c>
      <c r="K195" s="113">
        <v>0</v>
      </c>
      <c r="L195" s="113">
        <v>0</v>
      </c>
      <c r="M195" s="113">
        <v>0</v>
      </c>
      <c r="N195" s="113">
        <v>0</v>
      </c>
      <c r="O195" s="113">
        <v>0</v>
      </c>
      <c r="P195" s="114">
        <v>46022</v>
      </c>
      <c r="Q195" s="115">
        <v>394</v>
      </c>
      <c r="R195" s="116">
        <v>1629.8400000000001</v>
      </c>
      <c r="S195" s="109"/>
      <c r="T195" s="117">
        <f t="shared" si="58"/>
        <v>1629.8400000000001</v>
      </c>
      <c r="U195" s="118">
        <f t="shared" si="53"/>
        <v>1629.840000000002</v>
      </c>
      <c r="V195" s="119">
        <f t="shared" si="54"/>
        <v>0</v>
      </c>
      <c r="W195" s="116">
        <f t="shared" si="55"/>
        <v>1629.840000000002</v>
      </c>
      <c r="X195" s="117"/>
      <c r="Y195" s="121" t="s">
        <v>1413</v>
      </c>
      <c r="Z195" s="109"/>
    </row>
    <row r="196" spans="1:28">
      <c r="A196" s="6">
        <v>184</v>
      </c>
      <c r="B196" s="109" t="s">
        <v>1543</v>
      </c>
      <c r="C196" s="109" t="s">
        <v>1569</v>
      </c>
      <c r="D196" s="110">
        <v>148327.62</v>
      </c>
      <c r="E196" s="111">
        <v>165961.39000000001</v>
      </c>
      <c r="F196" s="111">
        <v>-12880.34</v>
      </c>
      <c r="G196" s="111">
        <v>-143306.96</v>
      </c>
      <c r="H196" s="111">
        <v>-148746.73000000001</v>
      </c>
      <c r="I196" s="112">
        <v>-117291.52</v>
      </c>
      <c r="J196" s="113">
        <v>0</v>
      </c>
      <c r="K196" s="113">
        <v>0</v>
      </c>
      <c r="L196" s="113">
        <v>0</v>
      </c>
      <c r="M196" s="113">
        <v>0</v>
      </c>
      <c r="N196" s="113">
        <v>0</v>
      </c>
      <c r="O196" s="113">
        <v>0</v>
      </c>
      <c r="P196" s="115"/>
      <c r="Q196" s="115"/>
      <c r="R196" s="116">
        <v>-107936.54000000001</v>
      </c>
      <c r="S196" s="109"/>
      <c r="T196" s="117"/>
      <c r="U196" s="118">
        <f t="shared" si="53"/>
        <v>-107936.54000000002</v>
      </c>
      <c r="V196" s="119">
        <f t="shared" si="54"/>
        <v>0</v>
      </c>
      <c r="W196" s="116">
        <f t="shared" si="55"/>
        <v>-107936.54000000002</v>
      </c>
      <c r="X196" s="109"/>
      <c r="Y196" s="121"/>
      <c r="Z196" s="109"/>
    </row>
    <row r="197" spans="1:28">
      <c r="A197" s="6">
        <v>185</v>
      </c>
      <c r="B197" s="109" t="s">
        <v>1543</v>
      </c>
      <c r="C197" s="109" t="s">
        <v>1570</v>
      </c>
      <c r="D197" s="110">
        <v>72138.790000000008</v>
      </c>
      <c r="E197" s="111">
        <v>30187.16</v>
      </c>
      <c r="F197" s="111">
        <v>62479.35</v>
      </c>
      <c r="G197" s="111">
        <v>-51075.840000000004</v>
      </c>
      <c r="H197" s="111">
        <v>-57024.21</v>
      </c>
      <c r="I197" s="112">
        <v>-94967.61</v>
      </c>
      <c r="J197" s="113">
        <v>0</v>
      </c>
      <c r="K197" s="113">
        <v>0</v>
      </c>
      <c r="L197" s="113">
        <v>0</v>
      </c>
      <c r="M197" s="113">
        <v>0</v>
      </c>
      <c r="N197" s="113">
        <v>0</v>
      </c>
      <c r="O197" s="113">
        <v>0</v>
      </c>
      <c r="P197" s="115"/>
      <c r="Q197" s="115"/>
      <c r="R197" s="116">
        <v>-38262.36</v>
      </c>
      <c r="S197" s="109"/>
      <c r="T197" s="117"/>
      <c r="U197" s="118">
        <f t="shared" si="53"/>
        <v>-38262.359999999979</v>
      </c>
      <c r="V197" s="119">
        <f t="shared" si="54"/>
        <v>0</v>
      </c>
      <c r="W197" s="116">
        <f t="shared" si="55"/>
        <v>-38262.359999999979</v>
      </c>
      <c r="X197" s="109"/>
      <c r="Y197" s="121"/>
      <c r="Z197" s="109"/>
    </row>
    <row r="198" spans="1:28">
      <c r="A198" s="6">
        <v>186</v>
      </c>
      <c r="B198" s="109" t="s">
        <v>1543</v>
      </c>
      <c r="C198" s="109" t="s">
        <v>1571</v>
      </c>
      <c r="D198" s="110">
        <v>26289.59</v>
      </c>
      <c r="E198" s="111">
        <v>155.85</v>
      </c>
      <c r="F198" s="111">
        <v>156.79</v>
      </c>
      <c r="G198" s="111">
        <v>143.81</v>
      </c>
      <c r="H198" s="111">
        <v>144.61000000000001</v>
      </c>
      <c r="I198" s="112">
        <v>145.4</v>
      </c>
      <c r="J198" s="113">
        <v>5906.02</v>
      </c>
      <c r="K198" s="113">
        <v>5906.02</v>
      </c>
      <c r="L198" s="113">
        <v>5906.02</v>
      </c>
      <c r="M198" s="113">
        <v>5906.02</v>
      </c>
      <c r="N198" s="113">
        <v>5906.02</v>
      </c>
      <c r="O198" s="113">
        <v>5906.02</v>
      </c>
      <c r="P198" s="114">
        <v>44561</v>
      </c>
      <c r="Q198" s="115">
        <v>391</v>
      </c>
      <c r="R198" s="116">
        <v>62472.17</v>
      </c>
      <c r="S198" s="800">
        <f>+'State Allocation Formulas'!$L$25</f>
        <v>0.77239999999999998</v>
      </c>
      <c r="T198" s="117">
        <f t="shared" si="52"/>
        <v>48253.504107999994</v>
      </c>
      <c r="U198" s="118">
        <f t="shared" si="53"/>
        <v>27036.050000000003</v>
      </c>
      <c r="V198" s="119">
        <f t="shared" si="54"/>
        <v>35436.120000000003</v>
      </c>
      <c r="W198" s="116">
        <f t="shared" si="55"/>
        <v>62472.170000000006</v>
      </c>
      <c r="X198" s="120">
        <f t="shared" ref="X198:X201" si="59">+T198</f>
        <v>48253.504107999994</v>
      </c>
      <c r="Y198" s="121">
        <v>47</v>
      </c>
      <c r="Z198" s="109"/>
    </row>
    <row r="199" spans="1:28">
      <c r="A199" s="6">
        <v>187</v>
      </c>
      <c r="B199" s="109" t="s">
        <v>1543</v>
      </c>
      <c r="C199" s="109" t="s">
        <v>1572</v>
      </c>
      <c r="D199" s="110">
        <v>7274.29</v>
      </c>
      <c r="E199" s="111">
        <v>2577.7200000000003</v>
      </c>
      <c r="F199" s="111">
        <v>23481.97</v>
      </c>
      <c r="G199" s="111">
        <v>813.35</v>
      </c>
      <c r="H199" s="111">
        <v>44789.32</v>
      </c>
      <c r="I199" s="112">
        <v>-3115.69</v>
      </c>
      <c r="J199" s="113">
        <v>0</v>
      </c>
      <c r="K199" s="113">
        <v>0</v>
      </c>
      <c r="L199" s="113">
        <v>67275</v>
      </c>
      <c r="M199" s="113">
        <v>0</v>
      </c>
      <c r="N199" s="113">
        <v>0</v>
      </c>
      <c r="O199" s="113">
        <v>0</v>
      </c>
      <c r="P199" s="114">
        <v>44561</v>
      </c>
      <c r="Q199" s="115">
        <v>391</v>
      </c>
      <c r="R199" s="116">
        <v>143095.96</v>
      </c>
      <c r="S199" s="800">
        <f>+'State Allocation Formulas'!$L$25</f>
        <v>0.77239999999999998</v>
      </c>
      <c r="T199" s="117">
        <f t="shared" si="52"/>
        <v>110527.31950399998</v>
      </c>
      <c r="U199" s="118">
        <f t="shared" si="53"/>
        <v>75820.959999999992</v>
      </c>
      <c r="V199" s="119">
        <f t="shared" si="54"/>
        <v>67275</v>
      </c>
      <c r="W199" s="116">
        <f t="shared" si="55"/>
        <v>143095.96</v>
      </c>
      <c r="X199" s="120">
        <f t="shared" si="59"/>
        <v>110527.31950399998</v>
      </c>
      <c r="Y199" s="121">
        <v>48</v>
      </c>
      <c r="Z199" s="109"/>
    </row>
    <row r="200" spans="1:28">
      <c r="A200" s="6">
        <v>188</v>
      </c>
      <c r="B200" s="109" t="s">
        <v>1543</v>
      </c>
      <c r="C200" s="109" t="s">
        <v>1573</v>
      </c>
      <c r="D200" s="110">
        <v>0</v>
      </c>
      <c r="E200" s="111">
        <v>0</v>
      </c>
      <c r="F200" s="111">
        <v>0</v>
      </c>
      <c r="G200" s="111">
        <v>0</v>
      </c>
      <c r="H200" s="111">
        <v>0</v>
      </c>
      <c r="I200" s="112">
        <v>0</v>
      </c>
      <c r="J200" s="113">
        <v>160.91</v>
      </c>
      <c r="K200" s="113">
        <v>161.80000000000001</v>
      </c>
      <c r="L200" s="113">
        <v>162.69</v>
      </c>
      <c r="M200" s="113">
        <v>163.59</v>
      </c>
      <c r="N200" s="113">
        <v>164.49</v>
      </c>
      <c r="O200" s="113">
        <v>165.4</v>
      </c>
      <c r="P200" s="114">
        <v>43160</v>
      </c>
      <c r="Q200" s="115">
        <v>390</v>
      </c>
      <c r="R200" s="116">
        <v>978.88</v>
      </c>
      <c r="S200" s="109"/>
      <c r="T200" s="117">
        <f>+R200</f>
        <v>978.88</v>
      </c>
      <c r="U200" s="118">
        <f t="shared" si="53"/>
        <v>0</v>
      </c>
      <c r="V200" s="119">
        <f t="shared" si="54"/>
        <v>978.88</v>
      </c>
      <c r="W200" s="116">
        <f t="shared" si="55"/>
        <v>978.88</v>
      </c>
      <c r="X200" s="120"/>
      <c r="Y200" s="121" t="s">
        <v>1385</v>
      </c>
      <c r="Z200" s="109"/>
    </row>
    <row r="201" spans="1:28">
      <c r="A201" s="6">
        <v>189</v>
      </c>
      <c r="B201" s="109" t="s">
        <v>1543</v>
      </c>
      <c r="C201" s="109" t="s">
        <v>1574</v>
      </c>
      <c r="D201" s="110">
        <v>0</v>
      </c>
      <c r="E201" s="111">
        <v>0</v>
      </c>
      <c r="F201" s="111">
        <v>73195.199999999997</v>
      </c>
      <c r="G201" s="111">
        <v>46803.01</v>
      </c>
      <c r="H201" s="111">
        <v>0</v>
      </c>
      <c r="I201" s="112">
        <v>0</v>
      </c>
      <c r="J201" s="113">
        <v>0</v>
      </c>
      <c r="K201" s="113">
        <v>0</v>
      </c>
      <c r="L201" s="113">
        <v>645840</v>
      </c>
      <c r="M201" s="113">
        <v>0</v>
      </c>
      <c r="N201" s="113">
        <v>0</v>
      </c>
      <c r="O201" s="113">
        <v>0</v>
      </c>
      <c r="P201" s="114">
        <v>43069</v>
      </c>
      <c r="Q201" s="115">
        <v>394</v>
      </c>
      <c r="R201" s="116">
        <v>765838.21</v>
      </c>
      <c r="S201" s="800">
        <f>+'State Allocation Formulas'!$L$25</f>
        <v>0.77239999999999998</v>
      </c>
      <c r="T201" s="117">
        <f t="shared" si="52"/>
        <v>591533.43340400001</v>
      </c>
      <c r="U201" s="118">
        <f t="shared" si="53"/>
        <v>119998.20999999999</v>
      </c>
      <c r="V201" s="119">
        <f t="shared" si="54"/>
        <v>645840</v>
      </c>
      <c r="W201" s="116">
        <f t="shared" si="55"/>
        <v>765838.21</v>
      </c>
      <c r="X201" s="120">
        <f t="shared" si="59"/>
        <v>591533.43340400001</v>
      </c>
      <c r="Y201" s="121">
        <v>49</v>
      </c>
      <c r="Z201" s="109"/>
    </row>
    <row r="202" spans="1:28">
      <c r="A202" s="6">
        <v>190</v>
      </c>
      <c r="B202" s="109" t="s">
        <v>1543</v>
      </c>
      <c r="C202" s="109" t="s">
        <v>1575</v>
      </c>
      <c r="D202" s="110">
        <v>98485.8</v>
      </c>
      <c r="E202" s="111">
        <v>-24733.73</v>
      </c>
      <c r="F202" s="111">
        <v>156819.43</v>
      </c>
      <c r="G202" s="111">
        <v>4833.71</v>
      </c>
      <c r="H202" s="111">
        <v>-316063.28999999998</v>
      </c>
      <c r="I202" s="112">
        <v>82360.240000000005</v>
      </c>
      <c r="J202" s="113">
        <v>0</v>
      </c>
      <c r="K202" s="113">
        <v>0</v>
      </c>
      <c r="L202" s="113">
        <v>0</v>
      </c>
      <c r="M202" s="113">
        <v>0</v>
      </c>
      <c r="N202" s="113">
        <v>0</v>
      </c>
      <c r="O202" s="113">
        <v>0</v>
      </c>
      <c r="P202" s="115"/>
      <c r="Q202" s="115"/>
      <c r="R202" s="116">
        <v>1702.16</v>
      </c>
      <c r="S202" s="109"/>
      <c r="T202" s="117"/>
      <c r="U202" s="118">
        <f t="shared" si="53"/>
        <v>1702.160000000018</v>
      </c>
      <c r="V202" s="119">
        <f t="shared" si="54"/>
        <v>0</v>
      </c>
      <c r="W202" s="116">
        <f t="shared" si="55"/>
        <v>1702.160000000018</v>
      </c>
      <c r="X202" s="109"/>
      <c r="Y202" s="121"/>
      <c r="Z202" s="109"/>
    </row>
    <row r="203" spans="1:28">
      <c r="A203" s="6">
        <v>191</v>
      </c>
      <c r="B203" s="109" t="s">
        <v>1543</v>
      </c>
      <c r="C203" s="109" t="s">
        <v>1576</v>
      </c>
      <c r="D203" s="110">
        <v>0</v>
      </c>
      <c r="E203" s="111">
        <v>0</v>
      </c>
      <c r="F203" s="111">
        <v>0</v>
      </c>
      <c r="G203" s="111">
        <v>0</v>
      </c>
      <c r="H203" s="111">
        <v>0</v>
      </c>
      <c r="I203" s="112">
        <v>0</v>
      </c>
      <c r="J203" s="113">
        <v>86631.900000000009</v>
      </c>
      <c r="K203" s="113">
        <v>21194.170000000002</v>
      </c>
      <c r="L203" s="113">
        <v>21311.05</v>
      </c>
      <c r="M203" s="113">
        <v>21428.58</v>
      </c>
      <c r="N203" s="113">
        <v>21546.760000000002</v>
      </c>
      <c r="O203" s="113">
        <v>0</v>
      </c>
      <c r="P203" s="114">
        <v>43100</v>
      </c>
      <c r="Q203" s="115">
        <v>303</v>
      </c>
      <c r="R203" s="116">
        <v>172112.46</v>
      </c>
      <c r="S203" s="800">
        <f>+'State Allocation Formulas'!$L$25</f>
        <v>0.77239999999999998</v>
      </c>
      <c r="T203" s="117">
        <f t="shared" si="52"/>
        <v>132939.664104</v>
      </c>
      <c r="U203" s="118">
        <f t="shared" si="53"/>
        <v>0</v>
      </c>
      <c r="V203" s="119">
        <f t="shared" si="54"/>
        <v>172112.46000000002</v>
      </c>
      <c r="W203" s="116">
        <f t="shared" si="55"/>
        <v>172112.46000000002</v>
      </c>
      <c r="X203" s="120">
        <f>+T203</f>
        <v>132939.664104</v>
      </c>
      <c r="Y203" s="121">
        <v>50</v>
      </c>
      <c r="Z203" s="109"/>
    </row>
    <row r="204" spans="1:28">
      <c r="B204" s="129"/>
      <c r="C204" s="130" t="s">
        <v>1542</v>
      </c>
      <c r="D204" s="131">
        <f t="shared" ref="D204:R204" si="60">SUM(D171:D203)</f>
        <v>418502.27999999997</v>
      </c>
      <c r="E204" s="132">
        <f t="shared" si="60"/>
        <v>320551.13999999996</v>
      </c>
      <c r="F204" s="132">
        <f t="shared" si="60"/>
        <v>318969.62</v>
      </c>
      <c r="G204" s="132">
        <f t="shared" si="60"/>
        <v>182250.83000000007</v>
      </c>
      <c r="H204" s="132">
        <f t="shared" si="60"/>
        <v>-434314.58999999997</v>
      </c>
      <c r="I204" s="133">
        <f t="shared" si="60"/>
        <v>248163.42999999993</v>
      </c>
      <c r="J204" s="134">
        <f t="shared" si="60"/>
        <v>445666.92</v>
      </c>
      <c r="K204" s="134">
        <f t="shared" si="60"/>
        <v>380230.07999999996</v>
      </c>
      <c r="L204" s="134">
        <f t="shared" si="60"/>
        <v>1093462.8500000001</v>
      </c>
      <c r="M204" s="134">
        <f t="shared" si="60"/>
        <v>380466.28</v>
      </c>
      <c r="N204" s="134">
        <f t="shared" si="60"/>
        <v>380585.36</v>
      </c>
      <c r="O204" s="134">
        <f t="shared" si="60"/>
        <v>359039.51</v>
      </c>
      <c r="P204" s="135"/>
      <c r="Q204" s="135"/>
      <c r="R204" s="136">
        <f t="shared" si="60"/>
        <v>4093573.71</v>
      </c>
      <c r="S204" s="129"/>
      <c r="T204" s="137">
        <f t="shared" ref="T204:V204" si="61">SUM(T171:T203)</f>
        <v>3272133.5999119994</v>
      </c>
      <c r="U204" s="138">
        <f t="shared" si="61"/>
        <v>1054122.71</v>
      </c>
      <c r="V204" s="139">
        <f t="shared" si="61"/>
        <v>3039451</v>
      </c>
      <c r="W204" s="136">
        <f>SUM(W171:W203)</f>
        <v>4093573.71</v>
      </c>
      <c r="X204" s="137">
        <f t="shared" ref="X204" si="62">SUM(X171:X203)</f>
        <v>977155.87112000003</v>
      </c>
      <c r="Y204" s="140"/>
      <c r="Z204" s="129"/>
    </row>
    <row r="205" spans="1:28">
      <c r="B205" s="129"/>
      <c r="C205" s="129"/>
      <c r="D205" s="110"/>
      <c r="E205" s="111"/>
      <c r="F205" s="111"/>
      <c r="G205" s="111"/>
      <c r="H205" s="111"/>
      <c r="I205" s="112"/>
      <c r="J205" s="113"/>
      <c r="K205" s="113"/>
      <c r="L205" s="113"/>
      <c r="M205" s="113"/>
      <c r="N205" s="113"/>
      <c r="O205" s="141"/>
      <c r="P205" s="125"/>
      <c r="Q205" s="125"/>
      <c r="R205" s="116"/>
      <c r="S205" s="129"/>
      <c r="T205" s="144"/>
      <c r="U205" s="118"/>
      <c r="V205" s="119"/>
      <c r="W205" s="116"/>
      <c r="X205" s="144"/>
      <c r="Y205" s="140"/>
      <c r="Z205" s="129"/>
    </row>
    <row r="206" spans="1:28">
      <c r="B206" s="129"/>
      <c r="C206" s="130"/>
      <c r="D206" s="110"/>
      <c r="E206" s="111"/>
      <c r="F206" s="111"/>
      <c r="G206" s="111"/>
      <c r="H206" s="111"/>
      <c r="I206" s="112">
        <f>SUM(D204:I204)</f>
        <v>1054122.71</v>
      </c>
      <c r="J206" s="113"/>
      <c r="K206" s="113"/>
      <c r="L206" s="113"/>
      <c r="M206" s="113"/>
      <c r="N206" s="113"/>
      <c r="O206" s="141">
        <f>SUM(J204:O204)</f>
        <v>3039451</v>
      </c>
      <c r="P206" s="125"/>
      <c r="Q206" s="125"/>
      <c r="R206" s="116"/>
      <c r="S206" s="129"/>
      <c r="T206" s="144"/>
      <c r="U206" s="118"/>
      <c r="V206" s="119"/>
      <c r="W206" s="116"/>
      <c r="X206" s="144"/>
      <c r="Y206" s="140"/>
      <c r="Z206" s="129"/>
    </row>
    <row r="207" spans="1:28">
      <c r="B207" s="129"/>
      <c r="C207" s="129"/>
      <c r="D207" s="110"/>
      <c r="E207" s="111"/>
      <c r="F207" s="111"/>
      <c r="G207" s="111"/>
      <c r="H207" s="111"/>
      <c r="I207" s="112"/>
      <c r="J207" s="113"/>
      <c r="K207" s="113"/>
      <c r="L207" s="113"/>
      <c r="M207" s="113"/>
      <c r="N207" s="113"/>
      <c r="O207" s="141"/>
      <c r="P207" s="125"/>
      <c r="Q207" s="125"/>
      <c r="R207" s="116"/>
      <c r="S207" s="129"/>
      <c r="T207" s="144"/>
      <c r="U207" s="118"/>
      <c r="V207" s="119"/>
      <c r="W207" s="116"/>
      <c r="X207" s="144"/>
      <c r="Y207" s="129"/>
      <c r="Z207" s="129"/>
    </row>
    <row r="208" spans="1:28" ht="16.5" thickBot="1">
      <c r="A208" s="6">
        <v>192</v>
      </c>
      <c r="B208" s="129"/>
      <c r="C208" s="130" t="s">
        <v>52</v>
      </c>
      <c r="D208" s="131">
        <f t="shared" ref="D208:O208" si="63">D23+D167+D204</f>
        <v>2500520.8399999994</v>
      </c>
      <c r="E208" s="132">
        <f t="shared" si="63"/>
        <v>3040136.560000001</v>
      </c>
      <c r="F208" s="132">
        <f t="shared" si="63"/>
        <v>3755954.24</v>
      </c>
      <c r="G208" s="132">
        <f t="shared" si="63"/>
        <v>4478213.8299999991</v>
      </c>
      <c r="H208" s="132">
        <f t="shared" si="63"/>
        <v>5503859.0600000005</v>
      </c>
      <c r="I208" s="133">
        <f t="shared" si="63"/>
        <v>5161199.4200000009</v>
      </c>
      <c r="J208" s="134">
        <f t="shared" si="63"/>
        <v>7677358.8200000012</v>
      </c>
      <c r="K208" s="134">
        <f t="shared" si="63"/>
        <v>7649517.450000002</v>
      </c>
      <c r="L208" s="134">
        <f t="shared" si="63"/>
        <v>8221829.5900000017</v>
      </c>
      <c r="M208" s="134">
        <f t="shared" si="63"/>
        <v>5794736.4399999995</v>
      </c>
      <c r="N208" s="134">
        <f t="shared" si="63"/>
        <v>4063251.16</v>
      </c>
      <c r="O208" s="134">
        <f t="shared" si="63"/>
        <v>3677846.46</v>
      </c>
      <c r="P208" s="135"/>
      <c r="Q208" s="135"/>
      <c r="R208" s="136">
        <f>R23+R167+R204</f>
        <v>61524423.86999999</v>
      </c>
      <c r="S208" s="129"/>
      <c r="T208" s="145">
        <f>T23+T167+T204</f>
        <v>47578549.533320002</v>
      </c>
      <c r="U208" s="138">
        <f>U23+U167+U204</f>
        <v>24439883.95000001</v>
      </c>
      <c r="V208" s="139">
        <f>V23+V167+V204</f>
        <v>37084539.920000002</v>
      </c>
      <c r="W208" s="136">
        <f>W23+W167+W204</f>
        <v>61524423.86999999</v>
      </c>
      <c r="X208" s="98">
        <f>X23+X167+X204</f>
        <v>18072319.657660004</v>
      </c>
      <c r="Y208" s="129"/>
      <c r="Z208" s="129"/>
      <c r="AA208" s="152">
        <f>+SUM('[10]PC-45 Response'!$E$73:$E$74)</f>
        <v>4795618.9400000004</v>
      </c>
      <c r="AB208" s="152">
        <f>+AA208-X208</f>
        <v>-13276700.717660002</v>
      </c>
    </row>
    <row r="209" spans="1:28" ht="16.5" thickTop="1">
      <c r="B209" s="129"/>
      <c r="C209" s="129"/>
      <c r="D209" s="110"/>
      <c r="E209" s="111"/>
      <c r="F209" s="111"/>
      <c r="G209" s="111"/>
      <c r="H209" s="111"/>
      <c r="I209" s="112"/>
      <c r="J209" s="113"/>
      <c r="K209" s="113"/>
      <c r="L209" s="113"/>
      <c r="M209" s="113"/>
      <c r="N209" s="113"/>
      <c r="O209" s="141"/>
      <c r="P209" s="125"/>
      <c r="Q209" s="125"/>
      <c r="R209" s="116"/>
      <c r="S209" s="129"/>
      <c r="T209" s="144"/>
      <c r="U209" s="118"/>
      <c r="V209" s="119"/>
      <c r="W209" s="116"/>
      <c r="X209" s="129"/>
      <c r="Y209" s="129"/>
      <c r="Z209" s="129"/>
      <c r="AA209" s="4">
        <f>+Y217</f>
        <v>1.25</v>
      </c>
    </row>
    <row r="210" spans="1:28">
      <c r="B210" s="129"/>
      <c r="C210" s="130"/>
      <c r="D210" s="110"/>
      <c r="E210" s="111"/>
      <c r="F210" s="111"/>
      <c r="G210" s="111"/>
      <c r="H210" s="111"/>
      <c r="I210" s="112">
        <f>I25+I169+I206</f>
        <v>24439883.950000003</v>
      </c>
      <c r="J210" s="113"/>
      <c r="K210" s="113"/>
      <c r="L210" s="113"/>
      <c r="M210" s="113"/>
      <c r="N210" s="113"/>
      <c r="O210" s="141">
        <f>O25+O169+O206</f>
        <v>37084539.920000002</v>
      </c>
      <c r="P210" s="125"/>
      <c r="Q210" s="125"/>
      <c r="R210" s="116"/>
      <c r="S210" s="129"/>
      <c r="T210" s="144"/>
      <c r="U210" s="118"/>
      <c r="V210" s="119"/>
      <c r="W210" s="116"/>
      <c r="X210" s="129"/>
      <c r="Y210" s="129"/>
      <c r="Z210" s="129"/>
      <c r="AA210" s="4">
        <f>+AA208*AA209/100</f>
        <v>59945.236750000011</v>
      </c>
      <c r="AB210" s="152">
        <f>+AA210-Z230</f>
        <v>-350907.90965118085</v>
      </c>
    </row>
    <row r="211" spans="1:28">
      <c r="B211" s="109"/>
      <c r="C211" s="109"/>
      <c r="D211" s="146"/>
      <c r="E211" s="146"/>
      <c r="F211" s="146"/>
      <c r="G211" s="146"/>
      <c r="H211" s="146"/>
      <c r="I211" s="146"/>
      <c r="J211" s="146"/>
      <c r="K211" s="146"/>
      <c r="L211" s="146"/>
      <c r="M211" s="146"/>
      <c r="N211" s="146"/>
      <c r="O211" s="146"/>
      <c r="P211" s="146"/>
      <c r="Q211" s="146"/>
      <c r="R211" s="146"/>
      <c r="S211" s="109"/>
      <c r="T211" s="109"/>
      <c r="U211" s="146"/>
      <c r="V211" s="146"/>
      <c r="W211" s="146"/>
      <c r="X211" s="117"/>
      <c r="Y211" s="109"/>
      <c r="Z211" s="109"/>
      <c r="AA211" s="4">
        <f>+'Pro Forma Plant Additions'!C11</f>
        <v>1.1681678480842181E-2</v>
      </c>
    </row>
    <row r="212" spans="1:28">
      <c r="A212" s="6">
        <v>193</v>
      </c>
      <c r="B212" s="109" t="s">
        <v>1577</v>
      </c>
      <c r="C212" s="109"/>
      <c r="D212" s="146"/>
      <c r="E212" s="146"/>
      <c r="F212" s="146"/>
      <c r="G212" s="146"/>
      <c r="H212" s="146"/>
      <c r="I212" s="146"/>
      <c r="J212" s="146"/>
      <c r="K212" s="146"/>
      <c r="L212" s="146"/>
      <c r="M212" s="146"/>
      <c r="N212" s="146"/>
      <c r="O212" s="146"/>
      <c r="P212" s="147" t="s">
        <v>874</v>
      </c>
      <c r="Q212" s="146"/>
      <c r="R212" s="146"/>
      <c r="S212" s="109"/>
      <c r="T212" s="143"/>
      <c r="U212" s="146"/>
      <c r="V212" s="146"/>
      <c r="W212" s="146"/>
      <c r="X212" s="109"/>
      <c r="Y212" s="109"/>
      <c r="Z212" s="109"/>
      <c r="AB212" s="311">
        <f>+AA211*AB208</f>
        <v>-155094.14907007079</v>
      </c>
    </row>
    <row r="213" spans="1:28">
      <c r="A213" s="6">
        <v>194</v>
      </c>
      <c r="B213" s="148" t="s">
        <v>1413</v>
      </c>
      <c r="C213" s="109" t="s">
        <v>1578</v>
      </c>
      <c r="D213" s="146"/>
      <c r="E213" s="146"/>
      <c r="F213" s="146"/>
      <c r="G213" s="146"/>
      <c r="H213" s="146"/>
      <c r="I213" s="146"/>
      <c r="J213" s="146"/>
      <c r="K213" s="146"/>
      <c r="L213" s="146"/>
      <c r="M213" s="146"/>
      <c r="N213" s="146"/>
      <c r="O213" s="146"/>
      <c r="P213" s="146">
        <f>+T195+T194+T193+T192+T191+T190+T187+T184+T183+T180+T179+T178+T177+T176+T175+T172+T171</f>
        <v>2293998.8487920002</v>
      </c>
      <c r="Q213" s="146"/>
      <c r="R213" s="146"/>
      <c r="S213" s="109"/>
      <c r="T213" s="121" t="s">
        <v>1584</v>
      </c>
      <c r="U213" s="147"/>
      <c r="V213" s="147"/>
      <c r="W213" s="147"/>
      <c r="X213" s="121" t="s">
        <v>1586</v>
      </c>
      <c r="Y213" s="801" t="s">
        <v>2080</v>
      </c>
      <c r="Z213" s="121" t="s">
        <v>1582</v>
      </c>
    </row>
    <row r="214" spans="1:28">
      <c r="A214" s="6">
        <v>195</v>
      </c>
      <c r="B214" s="148" t="s">
        <v>1426</v>
      </c>
      <c r="C214" s="109" t="s">
        <v>1133</v>
      </c>
      <c r="D214" s="146"/>
      <c r="E214" s="146"/>
      <c r="F214" s="146"/>
      <c r="G214" s="146"/>
      <c r="H214" s="146"/>
      <c r="I214" s="146"/>
      <c r="J214" s="146"/>
      <c r="K214" s="146"/>
      <c r="L214" s="146"/>
      <c r="M214" s="146"/>
      <c r="N214" s="146"/>
      <c r="O214" s="146"/>
      <c r="P214" s="146">
        <f>+T51+T55+T56+T59+T60+T61+T70+T76+T79+T80+T82+T88+T91+T134+T146</f>
        <v>10912878.120000001</v>
      </c>
      <c r="Q214" s="146"/>
      <c r="R214" s="146"/>
      <c r="S214" s="109"/>
      <c r="T214" s="121" t="s">
        <v>1585</v>
      </c>
      <c r="U214" s="147"/>
      <c r="V214" s="147"/>
      <c r="W214" s="147"/>
      <c r="X214" s="121" t="s">
        <v>396</v>
      </c>
      <c r="Y214" s="21" t="s">
        <v>2081</v>
      </c>
      <c r="Z214" s="121" t="s">
        <v>1583</v>
      </c>
    </row>
    <row r="215" spans="1:28">
      <c r="A215" s="6">
        <v>196</v>
      </c>
      <c r="B215" s="148" t="s">
        <v>1411</v>
      </c>
      <c r="C215" s="109" t="s">
        <v>1579</v>
      </c>
      <c r="D215" s="146"/>
      <c r="E215" s="146"/>
      <c r="F215" s="146"/>
      <c r="G215" s="146"/>
      <c r="H215" s="146"/>
      <c r="I215" s="146"/>
      <c r="J215" s="146"/>
      <c r="K215" s="146"/>
      <c r="L215" s="146"/>
      <c r="M215" s="146"/>
      <c r="N215" s="146"/>
      <c r="O215" s="146"/>
      <c r="P215" s="146">
        <f>+T163+T162+T161+T159+T158+T157+T156+T154+T153+T152+T151+T150+T148+T147+T136+T135+T133+T130+T128+T119+T117+T111+T73+T49+T48+T46+T44+T43+T41+T38+T126+T116+T140+T89</f>
        <v>14771450.923044002</v>
      </c>
      <c r="Q215" s="146"/>
      <c r="R215" s="146"/>
      <c r="S215" s="109"/>
      <c r="T215" s="109">
        <v>303</v>
      </c>
      <c r="U215" s="146"/>
      <c r="V215" s="146"/>
      <c r="W215" s="146"/>
      <c r="X215" s="117">
        <f>+X8+X9+X10+X11+X13+X15+X17+X18+X19+X20+X21+X203+X16</f>
        <v>1030878.7861559999</v>
      </c>
      <c r="Y215" s="109">
        <v>12.81</v>
      </c>
      <c r="Z215" s="149">
        <f>+X215*Y215/100</f>
        <v>132055.57250658359</v>
      </c>
    </row>
    <row r="216" spans="1:28">
      <c r="A216" s="6">
        <v>197</v>
      </c>
      <c r="B216" s="148" t="s">
        <v>1385</v>
      </c>
      <c r="C216" s="109" t="s">
        <v>1580</v>
      </c>
      <c r="D216" s="146"/>
      <c r="E216" s="146"/>
      <c r="F216" s="146"/>
      <c r="G216" s="146"/>
      <c r="H216" s="146"/>
      <c r="I216" s="146"/>
      <c r="J216" s="146"/>
      <c r="K216" s="146"/>
      <c r="L216" s="146"/>
      <c r="M216" s="146"/>
      <c r="N216" s="146"/>
      <c r="O216" s="146"/>
      <c r="P216" s="146">
        <f>+T18+T166+T165+T83+T14+T12+T11+T9+T200</f>
        <v>1504034.5638239998</v>
      </c>
      <c r="Q216" s="146"/>
      <c r="R216" s="146"/>
      <c r="S216" s="109"/>
      <c r="T216" s="109">
        <v>367</v>
      </c>
      <c r="U216" s="146"/>
      <c r="V216" s="146"/>
      <c r="W216" s="146"/>
      <c r="X216" s="117">
        <f>+X141</f>
        <v>386079.56</v>
      </c>
      <c r="Y216" s="109">
        <v>1.82</v>
      </c>
      <c r="Z216" s="149">
        <f>+X216*Y216/100</f>
        <v>7026.6479920000002</v>
      </c>
    </row>
    <row r="217" spans="1:28">
      <c r="A217" s="6">
        <v>198</v>
      </c>
      <c r="B217" s="148" t="s">
        <v>1429</v>
      </c>
      <c r="C217" s="109" t="s">
        <v>1581</v>
      </c>
      <c r="D217" s="146"/>
      <c r="E217" s="146"/>
      <c r="F217" s="146"/>
      <c r="G217" s="146"/>
      <c r="H217" s="146"/>
      <c r="I217" s="146"/>
      <c r="J217" s="146"/>
      <c r="K217" s="146"/>
      <c r="L217" s="146"/>
      <c r="M217" s="146"/>
      <c r="N217" s="146"/>
      <c r="O217" s="146"/>
      <c r="P217" s="146">
        <f>+T92+T75+T53</f>
        <v>23867.42</v>
      </c>
      <c r="Q217" s="146"/>
      <c r="R217" s="146"/>
      <c r="S217" s="109"/>
      <c r="T217" s="109">
        <v>376</v>
      </c>
      <c r="U217" s="146"/>
      <c r="V217" s="146"/>
      <c r="W217" s="146"/>
      <c r="X217" s="117">
        <f>+X149+X145+X144+X143+X142+X140+X138+X137+X127+X126+X125+X118+X113+X112+X108+X95+X94+X93+X90+X87+X84+X71+X64+X62+X40+X39+X122+X120+X89+X86+X83+X69+X115+X114+X160</f>
        <v>12426705.59</v>
      </c>
      <c r="Y217" s="109">
        <v>1.25</v>
      </c>
      <c r="Z217" s="149">
        <f t="shared" ref="Z217:Z226" si="64">+X217*Y217/100</f>
        <v>155333.81987500002</v>
      </c>
    </row>
    <row r="218" spans="1:28">
      <c r="A218" s="6">
        <v>199</v>
      </c>
      <c r="B218" s="148"/>
      <c r="C218" s="109"/>
      <c r="D218" s="146"/>
      <c r="E218" s="146"/>
      <c r="F218" s="146"/>
      <c r="G218" s="146"/>
      <c r="H218" s="146"/>
      <c r="I218" s="146"/>
      <c r="J218" s="146"/>
      <c r="K218" s="146"/>
      <c r="L218" s="146"/>
      <c r="M218" s="146"/>
      <c r="N218" s="146"/>
      <c r="O218" s="146"/>
      <c r="P218" s="146"/>
      <c r="Q218" s="146"/>
      <c r="R218" s="146"/>
      <c r="S218" s="109"/>
      <c r="T218" s="109">
        <v>378</v>
      </c>
      <c r="U218" s="146"/>
      <c r="V218" s="146"/>
      <c r="W218" s="146"/>
      <c r="X218" s="117">
        <f>+X116+X99+X98+X100+X67+X52+X42</f>
        <v>714721.72</v>
      </c>
      <c r="Y218" s="109">
        <v>1.92</v>
      </c>
      <c r="Z218" s="149">
        <f t="shared" si="64"/>
        <v>13722.657023999998</v>
      </c>
    </row>
    <row r="219" spans="1:28">
      <c r="A219" s="6">
        <v>200</v>
      </c>
      <c r="B219" s="148"/>
      <c r="C219" s="109"/>
      <c r="D219" s="146"/>
      <c r="E219" s="146"/>
      <c r="F219" s="146"/>
      <c r="G219" s="146"/>
      <c r="H219" s="146"/>
      <c r="I219" s="146"/>
      <c r="J219" s="146"/>
      <c r="K219" s="146"/>
      <c r="L219" s="146"/>
      <c r="M219" s="146"/>
      <c r="N219" s="146"/>
      <c r="O219" s="146"/>
      <c r="P219" s="146">
        <f>SUM(P213:P217)+X208</f>
        <v>47578549.53332001</v>
      </c>
      <c r="Q219" s="146"/>
      <c r="R219" s="146"/>
      <c r="S219" s="109"/>
      <c r="T219" s="109">
        <v>380</v>
      </c>
      <c r="U219" s="146"/>
      <c r="V219" s="146"/>
      <c r="W219" s="146"/>
      <c r="X219" s="117">
        <f>+X50</f>
        <v>777866.77</v>
      </c>
      <c r="Y219" s="109">
        <v>3.88</v>
      </c>
      <c r="Z219" s="149">
        <f t="shared" si="64"/>
        <v>30181.230676000003</v>
      </c>
    </row>
    <row r="220" spans="1:28">
      <c r="A220" s="6">
        <v>201</v>
      </c>
      <c r="B220" s="148"/>
      <c r="C220" s="109"/>
      <c r="D220" s="146"/>
      <c r="E220" s="146"/>
      <c r="F220" s="146"/>
      <c r="G220" s="146"/>
      <c r="H220" s="146"/>
      <c r="I220" s="146"/>
      <c r="J220" s="146"/>
      <c r="K220" s="146"/>
      <c r="L220" s="146"/>
      <c r="M220" s="146"/>
      <c r="N220" s="146"/>
      <c r="O220" s="146"/>
      <c r="P220" s="146">
        <f>+P219-T208</f>
        <v>0</v>
      </c>
      <c r="Q220" s="146"/>
      <c r="R220" s="146"/>
      <c r="S220" s="109"/>
      <c r="T220" s="109">
        <v>381</v>
      </c>
      <c r="U220" s="146"/>
      <c r="V220" s="146"/>
      <c r="W220" s="146"/>
      <c r="X220" s="117">
        <f>+X110</f>
        <v>843746.2944880001</v>
      </c>
      <c r="Y220" s="109">
        <v>2.27</v>
      </c>
      <c r="Z220" s="149">
        <f t="shared" si="64"/>
        <v>19153.040884877602</v>
      </c>
    </row>
    <row r="221" spans="1:28">
      <c r="A221" s="6">
        <v>202</v>
      </c>
      <c r="B221" s="148"/>
      <c r="C221" s="109"/>
      <c r="D221" s="146"/>
      <c r="E221" s="146"/>
      <c r="F221" s="146"/>
      <c r="G221" s="146"/>
      <c r="H221" s="146"/>
      <c r="I221" s="146"/>
      <c r="J221" s="146"/>
      <c r="K221" s="146"/>
      <c r="L221" s="146"/>
      <c r="M221" s="146"/>
      <c r="N221" s="146"/>
      <c r="O221" s="146"/>
      <c r="P221" s="146"/>
      <c r="Q221" s="146"/>
      <c r="R221" s="146"/>
      <c r="S221" s="109"/>
      <c r="T221" s="109">
        <v>382</v>
      </c>
      <c r="U221" s="146"/>
      <c r="V221" s="146"/>
      <c r="W221" s="146"/>
      <c r="X221" s="109"/>
      <c r="Y221" s="109"/>
      <c r="Z221" s="149">
        <f t="shared" si="64"/>
        <v>0</v>
      </c>
    </row>
    <row r="222" spans="1:28">
      <c r="A222" s="6">
        <v>203</v>
      </c>
      <c r="B222" s="109"/>
      <c r="C222" s="109"/>
      <c r="D222" s="146"/>
      <c r="E222" s="146"/>
      <c r="F222" s="146"/>
      <c r="G222" s="146"/>
      <c r="H222" s="146"/>
      <c r="I222" s="146"/>
      <c r="J222" s="146"/>
      <c r="K222" s="146"/>
      <c r="L222" s="146"/>
      <c r="M222" s="146"/>
      <c r="N222" s="146"/>
      <c r="O222" s="146"/>
      <c r="P222" s="146"/>
      <c r="Q222" s="146"/>
      <c r="R222" s="146"/>
      <c r="S222" s="109"/>
      <c r="T222" s="109">
        <v>385</v>
      </c>
      <c r="U222" s="146"/>
      <c r="V222" s="146"/>
      <c r="W222" s="146"/>
      <c r="X222" s="117">
        <f>+X47+X45</f>
        <v>1048104.73</v>
      </c>
      <c r="Y222" s="109">
        <v>2.1800000000000002</v>
      </c>
      <c r="Z222" s="149">
        <f t="shared" si="64"/>
        <v>22848.683113999999</v>
      </c>
    </row>
    <row r="223" spans="1:28">
      <c r="A223" s="6">
        <v>204</v>
      </c>
      <c r="B223" s="109"/>
      <c r="C223" s="109"/>
      <c r="D223" s="146"/>
      <c r="E223" s="146"/>
      <c r="F223" s="146"/>
      <c r="G223" s="146"/>
      <c r="H223" s="146"/>
      <c r="I223" s="146"/>
      <c r="J223" s="146"/>
      <c r="K223" s="146"/>
      <c r="L223" s="146"/>
      <c r="M223" s="146"/>
      <c r="N223" s="146"/>
      <c r="O223" s="146"/>
      <c r="P223" s="146"/>
      <c r="Q223" s="146"/>
      <c r="R223" s="146"/>
      <c r="S223" s="109"/>
      <c r="T223" s="109">
        <v>390</v>
      </c>
      <c r="U223" s="146"/>
      <c r="V223" s="146"/>
      <c r="W223" s="146"/>
      <c r="X223" s="117">
        <f>+X178+X185</f>
        <v>76458.680000000008</v>
      </c>
      <c r="Y223" s="109">
        <v>1.24</v>
      </c>
      <c r="Z223" s="149">
        <f t="shared" si="64"/>
        <v>948.08763200000021</v>
      </c>
    </row>
    <row r="224" spans="1:28">
      <c r="A224" s="6">
        <v>205</v>
      </c>
      <c r="B224" s="109"/>
      <c r="C224" s="109"/>
      <c r="D224" s="146"/>
      <c r="E224" s="146"/>
      <c r="F224" s="146"/>
      <c r="G224" s="146"/>
      <c r="H224" s="146"/>
      <c r="I224" s="146"/>
      <c r="J224" s="146"/>
      <c r="K224" s="146"/>
      <c r="L224" s="146"/>
      <c r="M224" s="146"/>
      <c r="N224" s="146"/>
      <c r="O224" s="146"/>
      <c r="P224" s="146"/>
      <c r="Q224" s="146"/>
      <c r="R224" s="146"/>
      <c r="S224" s="109"/>
      <c r="T224" s="109">
        <v>391</v>
      </c>
      <c r="U224" s="146"/>
      <c r="V224" s="146"/>
      <c r="W224" s="146"/>
      <c r="X224" s="117">
        <f>+X199+X198+X191+X184</f>
        <v>158780.82361199998</v>
      </c>
      <c r="Y224" s="109">
        <v>4.9800000000000004</v>
      </c>
      <c r="Z224" s="149">
        <f t="shared" si="64"/>
        <v>7907.2850158775991</v>
      </c>
    </row>
    <row r="225" spans="1:27">
      <c r="A225" s="6">
        <v>206</v>
      </c>
      <c r="B225" s="109"/>
      <c r="C225" s="109"/>
      <c r="D225" s="146"/>
      <c r="E225" s="146"/>
      <c r="F225" s="146"/>
      <c r="G225" s="146"/>
      <c r="H225" s="146"/>
      <c r="I225" s="146"/>
      <c r="J225" s="146"/>
      <c r="K225" s="146"/>
      <c r="L225" s="146"/>
      <c r="M225" s="146"/>
      <c r="N225" s="146"/>
      <c r="O225" s="146"/>
      <c r="P225" s="146"/>
      <c r="Q225" s="146"/>
      <c r="R225" s="146"/>
      <c r="S225" s="109"/>
      <c r="T225" s="109">
        <v>392</v>
      </c>
      <c r="U225" s="146"/>
      <c r="V225" s="146"/>
      <c r="W225" s="146"/>
      <c r="X225" s="117">
        <f>+X194+X193+X190+X188+X179+X175</f>
        <v>2201.1</v>
      </c>
      <c r="Y225" s="109">
        <v>6.16</v>
      </c>
      <c r="Z225" s="149">
        <f t="shared" si="64"/>
        <v>135.58776</v>
      </c>
    </row>
    <row r="226" spans="1:27">
      <c r="A226" s="6">
        <v>207</v>
      </c>
      <c r="B226" s="109"/>
      <c r="C226" s="109"/>
      <c r="D226" s="146"/>
      <c r="E226" s="146"/>
      <c r="F226" s="146"/>
      <c r="G226" s="146"/>
      <c r="H226" s="146"/>
      <c r="I226" s="146"/>
      <c r="J226" s="146"/>
      <c r="K226" s="146"/>
      <c r="L226" s="146"/>
      <c r="M226" s="146"/>
      <c r="N226" s="146"/>
      <c r="O226" s="146"/>
      <c r="P226" s="146"/>
      <c r="Q226" s="146"/>
      <c r="R226" s="146"/>
      <c r="S226" s="109"/>
      <c r="T226" s="109">
        <v>394</v>
      </c>
      <c r="U226" s="146"/>
      <c r="V226" s="146"/>
      <c r="W226" s="146"/>
      <c r="X226" s="117">
        <f>+X201+X195+X192+X189+X187+X186+X183+X180</f>
        <v>606775.60340400005</v>
      </c>
      <c r="Y226" s="109">
        <v>3.55</v>
      </c>
      <c r="Z226" s="149">
        <f t="shared" si="64"/>
        <v>21540.533920842001</v>
      </c>
    </row>
    <row r="227" spans="1:27">
      <c r="A227" s="6">
        <v>208</v>
      </c>
      <c r="B227" s="109"/>
      <c r="C227" s="109"/>
      <c r="D227" s="146"/>
      <c r="E227" s="146"/>
      <c r="F227" s="146"/>
      <c r="G227" s="146"/>
      <c r="H227" s="146"/>
      <c r="I227" s="146"/>
      <c r="J227" s="146"/>
      <c r="K227" s="146"/>
      <c r="L227" s="146"/>
      <c r="M227" s="146"/>
      <c r="N227" s="146"/>
      <c r="O227" s="146"/>
      <c r="P227" s="146"/>
      <c r="Q227" s="146"/>
      <c r="R227" s="146"/>
      <c r="S227" s="109"/>
      <c r="T227" s="109">
        <v>396</v>
      </c>
      <c r="U227" s="146"/>
      <c r="V227" s="146"/>
      <c r="W227" s="146"/>
      <c r="X227" s="117">
        <f>+X176+X171</f>
        <v>0</v>
      </c>
      <c r="Y227" s="962">
        <f>+SUM(Z215:Z226)/SUM(X215:X226)</f>
        <v>2.2733835732428501E-2</v>
      </c>
      <c r="Z227" s="149"/>
    </row>
    <row r="228" spans="1:27">
      <c r="A228" s="6">
        <v>209</v>
      </c>
      <c r="B228" s="109"/>
      <c r="C228" s="109"/>
      <c r="D228" s="146"/>
      <c r="E228" s="146"/>
      <c r="F228" s="146"/>
      <c r="G228" s="146"/>
      <c r="H228" s="146"/>
      <c r="I228" s="146"/>
      <c r="J228" s="146"/>
      <c r="K228" s="146"/>
      <c r="L228" s="146"/>
      <c r="M228" s="146"/>
      <c r="N228" s="146"/>
      <c r="O228" s="146"/>
      <c r="P228" s="146"/>
      <c r="Q228" s="146"/>
      <c r="R228" s="146"/>
      <c r="S228" s="109"/>
      <c r="T228" s="109">
        <v>397</v>
      </c>
      <c r="U228" s="146"/>
      <c r="V228" s="146"/>
      <c r="W228" s="146"/>
      <c r="X228" s="117">
        <f>+X177+X172</f>
        <v>0</v>
      </c>
      <c r="Y228" s="109"/>
      <c r="Z228" s="149"/>
    </row>
    <row r="229" spans="1:27">
      <c r="A229" s="6">
        <v>210</v>
      </c>
      <c r="B229" s="109"/>
      <c r="C229" s="109"/>
      <c r="D229" s="146"/>
      <c r="E229" s="146"/>
      <c r="F229" s="146"/>
      <c r="G229" s="146"/>
      <c r="H229" s="146"/>
      <c r="I229" s="146"/>
      <c r="J229" s="146"/>
      <c r="K229" s="146"/>
      <c r="L229" s="146"/>
      <c r="M229" s="146"/>
      <c r="N229" s="146"/>
      <c r="O229" s="146"/>
      <c r="P229" s="146"/>
      <c r="Q229" s="146"/>
      <c r="R229" s="146"/>
      <c r="S229" s="109"/>
      <c r="T229" s="109"/>
      <c r="U229" s="146"/>
      <c r="V229" s="146"/>
      <c r="W229" s="146"/>
      <c r="X229" s="109"/>
      <c r="Y229" s="109"/>
      <c r="Z229" s="109"/>
    </row>
    <row r="230" spans="1:27">
      <c r="A230" s="6">
        <v>211</v>
      </c>
      <c r="B230" s="109"/>
      <c r="C230" s="109"/>
      <c r="D230" s="146"/>
      <c r="E230" s="146"/>
      <c r="F230" s="146"/>
      <c r="G230" s="146"/>
      <c r="H230" s="146"/>
      <c r="I230" s="146"/>
      <c r="J230" s="146"/>
      <c r="K230" s="146"/>
      <c r="L230" s="146"/>
      <c r="M230" s="146"/>
      <c r="N230" s="146"/>
      <c r="O230" s="146"/>
      <c r="P230" s="146"/>
      <c r="Q230" s="146"/>
      <c r="R230" s="146"/>
      <c r="S230" s="109" t="s">
        <v>874</v>
      </c>
      <c r="T230" s="109"/>
      <c r="U230" s="146"/>
      <c r="V230" s="146"/>
      <c r="W230" s="146"/>
      <c r="X230" s="117">
        <f>SUM(X215:X228)</f>
        <v>18072319.65766</v>
      </c>
      <c r="Y230" s="109"/>
      <c r="Z230" s="117">
        <f>SUM(Z215:Z228)</f>
        <v>410853.14640118089</v>
      </c>
      <c r="AA230" s="4">
        <f>+Z230/X230</f>
        <v>2.2733835732428501E-2</v>
      </c>
    </row>
    <row r="231" spans="1:27">
      <c r="A231" s="6">
        <v>212</v>
      </c>
      <c r="B231" s="109"/>
      <c r="C231" s="109"/>
      <c r="D231" s="146"/>
      <c r="E231" s="146"/>
      <c r="F231" s="146"/>
      <c r="G231" s="146"/>
      <c r="H231" s="146"/>
      <c r="I231" s="146"/>
      <c r="J231" s="146"/>
      <c r="K231" s="146"/>
      <c r="L231" s="146"/>
      <c r="M231" s="146"/>
      <c r="N231" s="146"/>
      <c r="O231" s="146"/>
      <c r="P231" s="146"/>
      <c r="Q231" s="146"/>
      <c r="R231" s="146"/>
      <c r="S231" s="109"/>
      <c r="T231" s="109"/>
      <c r="U231" s="146"/>
      <c r="V231" s="146"/>
      <c r="W231" s="146"/>
      <c r="X231" s="109"/>
      <c r="Y231" s="109"/>
      <c r="Z231" s="109"/>
    </row>
    <row r="232" spans="1:27">
      <c r="A232" s="6">
        <v>213</v>
      </c>
      <c r="B232" s="109"/>
      <c r="C232" s="109"/>
      <c r="D232" s="146"/>
      <c r="E232" s="146"/>
      <c r="F232" s="146"/>
      <c r="G232" s="146"/>
      <c r="H232" s="146"/>
      <c r="I232" s="146"/>
      <c r="J232" s="146"/>
      <c r="K232" s="146"/>
      <c r="L232" s="146"/>
      <c r="M232" s="146"/>
      <c r="N232" s="146"/>
      <c r="O232" s="146"/>
      <c r="P232" s="146"/>
      <c r="Q232" s="146"/>
      <c r="R232" s="146"/>
      <c r="S232" s="109"/>
      <c r="T232" s="109"/>
      <c r="U232" s="146"/>
      <c r="V232" s="146"/>
      <c r="W232" s="146"/>
      <c r="X232" s="117">
        <f>+X208-X230</f>
        <v>0</v>
      </c>
      <c r="Y232" s="109"/>
      <c r="Z232" s="109"/>
    </row>
  </sheetData>
  <autoFilter ref="A7:Y210"/>
  <mergeCells count="4">
    <mergeCell ref="O1:R1"/>
    <mergeCell ref="O2:R2"/>
    <mergeCell ref="O3:R3"/>
    <mergeCell ref="O4:R4"/>
  </mergeCells>
  <pageMargins left="0.7" right="0.7" top="0.75" bottom="0.75" header="0.3" footer="0.3"/>
  <pageSetup scale="40" fitToHeight="0" orientation="portrait" useFirstPageNumber="1" r:id="rId1"/>
  <headerFooter scaleWithDoc="0" alignWithMargins="0">
    <oddHeader>&amp;RDocket No. UG-17_____
Exhibit _____ (MPP-6)
Page &amp;P of 7</oddHeader>
    <oddFooter>&amp;R&amp;"Times New Roman,Regular"&amp;9 26678.897\4829-5163-7600.v1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79"/>
  <sheetViews>
    <sheetView view="pageBreakPreview" topLeftCell="A31" zoomScale="90" zoomScaleNormal="100" zoomScaleSheetLayoutView="90" workbookViewId="0">
      <selection activeCell="AA210" sqref="AA210"/>
    </sheetView>
  </sheetViews>
  <sheetFormatPr defaultColWidth="9.140625" defaultRowHeight="15.75"/>
  <cols>
    <col min="1" max="1" width="9.140625" style="6"/>
    <col min="2" max="2" width="99" style="4" customWidth="1"/>
    <col min="3" max="16384" width="9.140625" style="4"/>
  </cols>
  <sheetData>
    <row r="1" spans="1:7">
      <c r="A1" s="1244" t="s">
        <v>1624</v>
      </c>
      <c r="B1" s="1244"/>
      <c r="C1" s="3"/>
      <c r="D1" s="3"/>
    </row>
    <row r="2" spans="1:7">
      <c r="A2" s="1244" t="s">
        <v>1657</v>
      </c>
      <c r="B2" s="1244"/>
      <c r="C2" s="3"/>
      <c r="D2" s="3"/>
    </row>
    <row r="3" spans="1:7">
      <c r="A3" s="1244" t="s">
        <v>976</v>
      </c>
      <c r="B3" s="1244"/>
      <c r="C3" s="3"/>
      <c r="D3" s="3"/>
    </row>
    <row r="4" spans="1:7">
      <c r="A4" s="15"/>
      <c r="B4" s="5"/>
      <c r="C4" s="5"/>
      <c r="D4" s="5"/>
    </row>
    <row r="5" spans="1:7">
      <c r="A5" s="16"/>
      <c r="B5" s="17"/>
    </row>
    <row r="6" spans="1:7">
      <c r="A6" s="13" t="s">
        <v>1588</v>
      </c>
      <c r="B6" s="13" t="s">
        <v>1589</v>
      </c>
    </row>
    <row r="8" spans="1:7" ht="63">
      <c r="A8" s="14" t="s">
        <v>1413</v>
      </c>
      <c r="B8" s="7" t="s">
        <v>1638</v>
      </c>
    </row>
    <row r="9" spans="1:7" ht="31.5">
      <c r="A9" s="14" t="s">
        <v>1426</v>
      </c>
      <c r="B9" s="8" t="s">
        <v>1590</v>
      </c>
    </row>
    <row r="10" spans="1:7" ht="31.5">
      <c r="A10" s="14" t="s">
        <v>1411</v>
      </c>
      <c r="B10" s="8" t="s">
        <v>1591</v>
      </c>
    </row>
    <row r="11" spans="1:7" ht="31.5">
      <c r="A11" s="14" t="s">
        <v>1385</v>
      </c>
      <c r="B11" s="8" t="s">
        <v>1639</v>
      </c>
      <c r="G11" s="17"/>
    </row>
    <row r="12" spans="1:7" ht="31.5">
      <c r="A12" s="14" t="s">
        <v>1429</v>
      </c>
      <c r="B12" s="8" t="s">
        <v>1640</v>
      </c>
    </row>
    <row r="13" spans="1:7" ht="47.25">
      <c r="A13" s="14">
        <v>1</v>
      </c>
      <c r="B13" s="8" t="s">
        <v>1641</v>
      </c>
    </row>
    <row r="14" spans="1:7" ht="31.5">
      <c r="A14" s="14">
        <v>2</v>
      </c>
      <c r="B14" s="9" t="s">
        <v>1592</v>
      </c>
    </row>
    <row r="15" spans="1:7" ht="31.5">
      <c r="A15" s="14">
        <v>3</v>
      </c>
      <c r="B15" s="8" t="s">
        <v>1642</v>
      </c>
    </row>
    <row r="16" spans="1:7">
      <c r="A16" s="14">
        <v>4</v>
      </c>
      <c r="B16" s="4" t="s">
        <v>1658</v>
      </c>
    </row>
    <row r="17" spans="1:2" ht="31.5">
      <c r="A17" s="14">
        <v>5</v>
      </c>
      <c r="B17" s="8" t="s">
        <v>1593</v>
      </c>
    </row>
    <row r="18" spans="1:2" ht="31.5">
      <c r="A18" s="14">
        <v>6</v>
      </c>
      <c r="B18" s="7" t="s">
        <v>1643</v>
      </c>
    </row>
    <row r="19" spans="1:2" ht="220.5">
      <c r="A19" s="14">
        <v>7</v>
      </c>
      <c r="B19" s="10" t="s">
        <v>1644</v>
      </c>
    </row>
    <row r="20" spans="1:2" ht="63">
      <c r="A20" s="14">
        <v>8</v>
      </c>
      <c r="B20" s="8" t="s">
        <v>1645</v>
      </c>
    </row>
    <row r="21" spans="1:2" ht="31.5">
      <c r="A21" s="14">
        <v>9</v>
      </c>
      <c r="B21" s="8" t="s">
        <v>1619</v>
      </c>
    </row>
    <row r="22" spans="1:2">
      <c r="A22" s="14">
        <v>10</v>
      </c>
      <c r="B22" s="11" t="s">
        <v>1595</v>
      </c>
    </row>
    <row r="23" spans="1:2">
      <c r="A23" s="14">
        <v>11</v>
      </c>
      <c r="B23" s="11" t="s">
        <v>1596</v>
      </c>
    </row>
    <row r="24" spans="1:2" ht="31.5">
      <c r="A24" s="14">
        <v>12</v>
      </c>
      <c r="B24" s="7" t="s">
        <v>1594</v>
      </c>
    </row>
    <row r="25" spans="1:2">
      <c r="A25" s="14">
        <v>13</v>
      </c>
      <c r="B25" s="12" t="s">
        <v>1597</v>
      </c>
    </row>
    <row r="26" spans="1:2" ht="47.25">
      <c r="A26" s="14">
        <v>14</v>
      </c>
      <c r="B26" s="8" t="s">
        <v>1646</v>
      </c>
    </row>
    <row r="27" spans="1:2" ht="47.25">
      <c r="A27" s="14">
        <v>15</v>
      </c>
      <c r="B27" s="8" t="s">
        <v>1598</v>
      </c>
    </row>
    <row r="28" spans="1:2" ht="78.75">
      <c r="A28" s="14">
        <v>16</v>
      </c>
      <c r="B28" s="8" t="s">
        <v>1599</v>
      </c>
    </row>
    <row r="29" spans="1:2" ht="63">
      <c r="A29" s="14">
        <v>17</v>
      </c>
      <c r="B29" s="8" t="s">
        <v>1647</v>
      </c>
    </row>
    <row r="30" spans="1:2" ht="63">
      <c r="A30" s="14">
        <v>18</v>
      </c>
      <c r="B30" s="8" t="s">
        <v>1600</v>
      </c>
    </row>
    <row r="31" spans="1:2" ht="63">
      <c r="A31" s="14">
        <v>19</v>
      </c>
      <c r="B31" s="8" t="s">
        <v>1601</v>
      </c>
    </row>
    <row r="32" spans="1:2" ht="47.25">
      <c r="A32" s="14">
        <v>20</v>
      </c>
      <c r="B32" s="8" t="s">
        <v>1648</v>
      </c>
    </row>
    <row r="33" spans="1:2" ht="47.25">
      <c r="A33" s="14">
        <v>21</v>
      </c>
      <c r="B33" s="8" t="s">
        <v>1656</v>
      </c>
    </row>
    <row r="34" spans="1:2" ht="31.5">
      <c r="A34" s="14">
        <v>22</v>
      </c>
      <c r="B34" s="8" t="s">
        <v>1602</v>
      </c>
    </row>
    <row r="35" spans="1:2" ht="47.25">
      <c r="A35" s="14">
        <v>23</v>
      </c>
      <c r="B35" s="8" t="s">
        <v>1603</v>
      </c>
    </row>
    <row r="36" spans="1:2" ht="47.25">
      <c r="A36" s="14">
        <v>24</v>
      </c>
      <c r="B36" s="8" t="s">
        <v>1604</v>
      </c>
    </row>
    <row r="37" spans="1:2" ht="30.75" customHeight="1">
      <c r="A37" s="14">
        <v>25</v>
      </c>
      <c r="B37" s="8" t="s">
        <v>1605</v>
      </c>
    </row>
    <row r="38" spans="1:2" ht="47.25">
      <c r="A38" s="14">
        <v>26</v>
      </c>
      <c r="B38" s="8" t="s">
        <v>1606</v>
      </c>
    </row>
    <row r="39" spans="1:2" ht="47.25">
      <c r="A39" s="14">
        <v>27</v>
      </c>
      <c r="B39" s="8" t="s">
        <v>1607</v>
      </c>
    </row>
    <row r="40" spans="1:2" ht="47.25">
      <c r="A40" s="14">
        <v>28</v>
      </c>
      <c r="B40" s="8" t="s">
        <v>1608</v>
      </c>
    </row>
    <row r="41" spans="1:2" ht="47.25">
      <c r="A41" s="14">
        <v>29</v>
      </c>
      <c r="B41" s="8" t="s">
        <v>1609</v>
      </c>
    </row>
    <row r="42" spans="1:2" ht="47.25">
      <c r="A42" s="14">
        <v>30</v>
      </c>
      <c r="B42" s="8" t="s">
        <v>1610</v>
      </c>
    </row>
    <row r="43" spans="1:2" ht="47.25">
      <c r="A43" s="14">
        <v>31</v>
      </c>
      <c r="B43" s="8" t="s">
        <v>1610</v>
      </c>
    </row>
    <row r="44" spans="1:2">
      <c r="A44" s="14">
        <v>32</v>
      </c>
      <c r="B44" s="8" t="s">
        <v>1611</v>
      </c>
    </row>
    <row r="45" spans="1:2" ht="31.5">
      <c r="A45" s="14">
        <v>33</v>
      </c>
      <c r="B45" s="8" t="s">
        <v>1612</v>
      </c>
    </row>
    <row r="46" spans="1:2" ht="141.75">
      <c r="A46" s="14">
        <v>34</v>
      </c>
      <c r="B46" s="8" t="s">
        <v>1613</v>
      </c>
    </row>
    <row r="47" spans="1:2" ht="267.75">
      <c r="A47" s="14">
        <v>35</v>
      </c>
      <c r="B47" s="10" t="s">
        <v>1649</v>
      </c>
    </row>
    <row r="48" spans="1:2" ht="63">
      <c r="A48" s="14">
        <v>36</v>
      </c>
      <c r="B48" s="8" t="s">
        <v>1614</v>
      </c>
    </row>
    <row r="49" spans="1:2" ht="94.5">
      <c r="A49" s="14">
        <v>37</v>
      </c>
      <c r="B49" s="8" t="s">
        <v>1615</v>
      </c>
    </row>
    <row r="50" spans="1:2">
      <c r="A50" s="14">
        <v>38</v>
      </c>
      <c r="B50" s="8" t="s">
        <v>1616</v>
      </c>
    </row>
    <row r="51" spans="1:2" ht="47.25">
      <c r="A51" s="14">
        <v>39</v>
      </c>
      <c r="B51" s="8" t="s">
        <v>1617</v>
      </c>
    </row>
    <row r="52" spans="1:2">
      <c r="A52" s="14">
        <v>40</v>
      </c>
      <c r="B52" s="8" t="s">
        <v>1618</v>
      </c>
    </row>
    <row r="53" spans="1:2" ht="93.75" customHeight="1">
      <c r="A53" s="14">
        <v>41</v>
      </c>
      <c r="B53" s="10" t="s">
        <v>1630</v>
      </c>
    </row>
    <row r="54" spans="1:2" ht="47.25">
      <c r="A54" s="14">
        <v>42</v>
      </c>
      <c r="B54" s="10" t="s">
        <v>1620</v>
      </c>
    </row>
    <row r="55" spans="1:2" ht="47.25">
      <c r="A55" s="14">
        <v>43</v>
      </c>
      <c r="B55" s="10" t="s">
        <v>1631</v>
      </c>
    </row>
    <row r="56" spans="1:2" ht="47.25">
      <c r="A56" s="14">
        <v>44</v>
      </c>
      <c r="B56" s="10" t="s">
        <v>1632</v>
      </c>
    </row>
    <row r="57" spans="1:2" ht="31.5">
      <c r="A57" s="14">
        <v>45</v>
      </c>
      <c r="B57" s="8" t="s">
        <v>1621</v>
      </c>
    </row>
    <row r="58" spans="1:2" ht="31.5">
      <c r="A58" s="14">
        <v>46</v>
      </c>
      <c r="B58" s="8" t="s">
        <v>1621</v>
      </c>
    </row>
    <row r="59" spans="1:2" ht="47.25">
      <c r="A59" s="14">
        <v>47</v>
      </c>
      <c r="B59" s="10" t="s">
        <v>1633</v>
      </c>
    </row>
    <row r="60" spans="1:2" ht="31.5">
      <c r="A60" s="14">
        <v>48</v>
      </c>
      <c r="B60" s="10" t="s">
        <v>1622</v>
      </c>
    </row>
    <row r="61" spans="1:2" ht="31.5">
      <c r="A61" s="14">
        <v>49</v>
      </c>
      <c r="B61" s="10" t="s">
        <v>1634</v>
      </c>
    </row>
    <row r="62" spans="1:2" ht="94.5">
      <c r="A62" s="14">
        <v>50</v>
      </c>
      <c r="B62" s="10" t="s">
        <v>1635</v>
      </c>
    </row>
    <row r="63" spans="1:2" ht="47.25">
      <c r="A63" s="14">
        <v>51</v>
      </c>
      <c r="B63" s="8" t="s">
        <v>1625</v>
      </c>
    </row>
    <row r="64" spans="1:2">
      <c r="A64" s="14">
        <v>52</v>
      </c>
      <c r="B64" s="8" t="s">
        <v>1655</v>
      </c>
    </row>
    <row r="65" spans="1:2">
      <c r="A65" s="14">
        <v>53</v>
      </c>
      <c r="B65" s="8" t="s">
        <v>1636</v>
      </c>
    </row>
    <row r="66" spans="1:2">
      <c r="A66" s="14">
        <v>54</v>
      </c>
      <c r="B66" s="8" t="s">
        <v>1637</v>
      </c>
    </row>
    <row r="67" spans="1:2">
      <c r="B67" s="8"/>
    </row>
    <row r="68" spans="1:2">
      <c r="B68" s="8"/>
    </row>
    <row r="69" spans="1:2">
      <c r="B69" s="8"/>
    </row>
    <row r="70" spans="1:2">
      <c r="B70" s="8"/>
    </row>
    <row r="71" spans="1:2">
      <c r="B71" s="8"/>
    </row>
    <row r="72" spans="1:2">
      <c r="B72" s="8"/>
    </row>
    <row r="73" spans="1:2">
      <c r="B73" s="8"/>
    </row>
    <row r="74" spans="1:2">
      <c r="B74" s="8"/>
    </row>
    <row r="75" spans="1:2">
      <c r="B75" s="8"/>
    </row>
    <row r="76" spans="1:2">
      <c r="B76" s="8"/>
    </row>
    <row r="77" spans="1:2">
      <c r="B77" s="8"/>
    </row>
    <row r="78" spans="1:2">
      <c r="B78" s="8"/>
    </row>
    <row r="79" spans="1:2">
      <c r="B79" s="8"/>
    </row>
  </sheetData>
  <mergeCells count="3">
    <mergeCell ref="A1:B1"/>
    <mergeCell ref="A2:B2"/>
    <mergeCell ref="A3:B3"/>
  </mergeCells>
  <pageMargins left="0.7" right="0.7" top="0.75" bottom="0.75" header="0.3" footer="0.3"/>
  <pageSetup scale="70" firstPageNumber="4" fitToHeight="0" orientation="portrait" useFirstPageNumber="1" r:id="rId1"/>
  <headerFooter scaleWithDoc="0" alignWithMargins="0">
    <oddHeader>&amp;RDocket No. UG-17_____
Exhibit _____ (MPP-6)
Page &amp;P of 7</oddHeader>
    <oddFooter>&amp;R&amp;"Times New Roman,Regular"&amp;9 26678.897\4829-5163-7600.v1</oddFooter>
  </headerFooter>
  <rowBreaks count="3" manualBreakCount="3">
    <brk id="23" max="16383" man="1"/>
    <brk id="39" max="16383" man="1"/>
    <brk id="48" max="1"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7"/>
  <sheetViews>
    <sheetView view="pageBreakPreview" topLeftCell="A22" zoomScale="80" zoomScaleNormal="100" zoomScaleSheetLayoutView="80" workbookViewId="0">
      <selection activeCell="F39" sqref="F39"/>
    </sheetView>
  </sheetViews>
  <sheetFormatPr defaultColWidth="9.140625" defaultRowHeight="15.75"/>
  <cols>
    <col min="1" max="1" width="9.28515625" style="4" bestFit="1" customWidth="1"/>
    <col min="2" max="2" width="32.85546875" style="4" customWidth="1"/>
    <col min="3" max="3" width="2.42578125" style="4" customWidth="1"/>
    <col min="4" max="4" width="14" style="4" bestFit="1" customWidth="1"/>
    <col min="5" max="5" width="18.140625" style="4" bestFit="1" customWidth="1"/>
    <col min="6" max="6" width="14" style="4" bestFit="1" customWidth="1"/>
    <col min="7" max="7" width="2.28515625" style="4" customWidth="1"/>
    <col min="8" max="8" width="12.7109375" style="4" bestFit="1" customWidth="1"/>
    <col min="9" max="10" width="9.140625" style="4"/>
    <col min="11" max="11" width="14.28515625" style="4" bestFit="1" customWidth="1"/>
    <col min="12" max="16384" width="9.140625" style="4"/>
  </cols>
  <sheetData>
    <row r="2" spans="1:11">
      <c r="A2" s="1"/>
      <c r="B2" s="1301" t="s">
        <v>53</v>
      </c>
      <c r="C2" s="1301"/>
      <c r="D2" s="1301"/>
      <c r="E2" s="1301"/>
      <c r="F2" s="1301"/>
      <c r="G2" s="1301"/>
      <c r="H2" s="1301"/>
      <c r="I2" s="1209"/>
      <c r="J2" s="1209"/>
    </row>
    <row r="3" spans="1:11">
      <c r="A3" s="381"/>
      <c r="B3" s="1301" t="s">
        <v>1659</v>
      </c>
      <c r="C3" s="1301"/>
      <c r="D3" s="1301"/>
      <c r="E3" s="1301"/>
      <c r="F3" s="1301"/>
      <c r="G3" s="1301"/>
      <c r="H3" s="1301"/>
      <c r="I3" s="1209"/>
      <c r="J3" s="1209"/>
    </row>
    <row r="4" spans="1:11">
      <c r="A4" s="1"/>
      <c r="B4" s="1301"/>
      <c r="C4" s="1301"/>
      <c r="D4" s="1301"/>
      <c r="E4" s="1301"/>
      <c r="F4" s="1301"/>
      <c r="G4" s="1301"/>
      <c r="H4" s="1301"/>
      <c r="I4" s="1209"/>
      <c r="J4" s="1209"/>
    </row>
    <row r="5" spans="1:11">
      <c r="A5" s="1211"/>
      <c r="B5" s="1301" t="s">
        <v>1676</v>
      </c>
      <c r="C5" s="1301"/>
      <c r="D5" s="1301"/>
      <c r="E5" s="1301"/>
      <c r="F5" s="1301"/>
      <c r="G5" s="1301"/>
      <c r="H5" s="1301"/>
      <c r="I5" s="1209"/>
      <c r="J5" s="1209"/>
    </row>
    <row r="6" spans="1:11">
      <c r="A6" s="1211"/>
      <c r="B6" s="1301" t="s">
        <v>971</v>
      </c>
      <c r="C6" s="1301"/>
      <c r="D6" s="1301"/>
      <c r="E6" s="1301"/>
      <c r="F6" s="1301"/>
      <c r="G6" s="1301"/>
      <c r="H6" s="1301"/>
      <c r="I6" s="1209"/>
      <c r="J6" s="1209"/>
    </row>
    <row r="7" spans="1:11">
      <c r="A7" s="1211"/>
      <c r="B7" s="1210"/>
      <c r="C7" s="1210"/>
      <c r="D7" s="1210"/>
      <c r="E7" s="1210"/>
      <c r="F7" s="1210"/>
      <c r="H7" s="1210"/>
      <c r="I7" s="1209"/>
      <c r="J7" s="1209"/>
    </row>
    <row r="8" spans="1:11" s="6" customFormat="1">
      <c r="A8" s="22"/>
      <c r="B8" s="22" t="s">
        <v>1689</v>
      </c>
      <c r="C8" s="22"/>
      <c r="D8" s="383" t="s">
        <v>1687</v>
      </c>
      <c r="E8" s="22" t="s">
        <v>1688</v>
      </c>
      <c r="F8" s="384" t="s">
        <v>1691</v>
      </c>
      <c r="H8" s="22" t="s">
        <v>1692</v>
      </c>
    </row>
    <row r="9" spans="1:11" ht="47.25">
      <c r="A9" s="385" t="s">
        <v>879</v>
      </c>
      <c r="B9" s="386" t="s">
        <v>370</v>
      </c>
      <c r="C9" s="387"/>
      <c r="D9" s="388" t="s">
        <v>2085</v>
      </c>
      <c r="E9" s="389" t="s">
        <v>1694</v>
      </c>
      <c r="F9" s="388" t="s">
        <v>1693</v>
      </c>
      <c r="H9" s="18" t="s">
        <v>1685</v>
      </c>
    </row>
    <row r="10" spans="1:11">
      <c r="A10" s="390"/>
      <c r="B10" s="390"/>
      <c r="C10" s="390"/>
      <c r="D10" s="388"/>
      <c r="E10" s="390"/>
      <c r="F10" s="391"/>
    </row>
    <row r="11" spans="1:11">
      <c r="A11" s="22"/>
      <c r="B11" s="385" t="s">
        <v>881</v>
      </c>
      <c r="C11" s="262"/>
      <c r="D11" s="392"/>
      <c r="E11" s="390"/>
      <c r="F11" s="391"/>
    </row>
    <row r="12" spans="1:11">
      <c r="A12" s="22">
        <v>1</v>
      </c>
      <c r="B12" s="390" t="s">
        <v>882</v>
      </c>
      <c r="C12" s="390"/>
      <c r="D12" s="1208">
        <v>0.76846000000000003</v>
      </c>
      <c r="E12" s="1207">
        <f>+F42</f>
        <v>10634837</v>
      </c>
      <c r="F12" s="391">
        <f>ROUND(E12*D12,2)</f>
        <v>8172446.8399999999</v>
      </c>
      <c r="H12" s="395">
        <f>+F12-F26</f>
        <v>2900864.49</v>
      </c>
      <c r="I12" s="20"/>
      <c r="K12" s="35"/>
    </row>
    <row r="13" spans="1:11">
      <c r="A13" s="390"/>
      <c r="B13" s="390"/>
      <c r="C13" s="390"/>
      <c r="D13" s="392"/>
      <c r="E13" s="390"/>
      <c r="F13" s="391"/>
      <c r="H13" s="20"/>
      <c r="I13" s="20"/>
    </row>
    <row r="14" spans="1:11">
      <c r="A14" s="390"/>
      <c r="B14" s="385" t="s">
        <v>883</v>
      </c>
      <c r="C14" s="390"/>
      <c r="D14" s="392"/>
      <c r="E14" s="390"/>
      <c r="F14" s="391"/>
      <c r="H14" s="20"/>
      <c r="I14" s="20"/>
    </row>
    <row r="15" spans="1:11">
      <c r="A15" s="22">
        <v>2</v>
      </c>
      <c r="B15" s="390" t="s">
        <v>884</v>
      </c>
      <c r="C15" s="390"/>
      <c r="D15" s="1208">
        <v>0.73499999999999999</v>
      </c>
      <c r="E15" s="1207">
        <f>+F43</f>
        <v>5838107</v>
      </c>
      <c r="F15" s="396">
        <f>ROUND(E15*D15,2)</f>
        <v>4291008.6500000004</v>
      </c>
      <c r="H15" s="395">
        <f>+F15-F29</f>
        <v>1412588.3700000006</v>
      </c>
      <c r="I15" s="20"/>
    </row>
    <row r="16" spans="1:11">
      <c r="A16" s="22"/>
      <c r="B16" s="390"/>
      <c r="C16" s="390"/>
      <c r="D16" s="393"/>
      <c r="E16" s="394"/>
      <c r="F16" s="396"/>
      <c r="H16" s="395"/>
      <c r="I16" s="20"/>
    </row>
    <row r="17" spans="1:9">
      <c r="A17" s="22"/>
      <c r="B17" s="385" t="s">
        <v>1978</v>
      </c>
      <c r="C17" s="390"/>
      <c r="D17" s="393"/>
      <c r="E17" s="394"/>
      <c r="F17" s="396"/>
      <c r="H17" s="395"/>
      <c r="I17" s="20"/>
    </row>
    <row r="18" spans="1:9">
      <c r="A18" s="22">
        <v>3</v>
      </c>
      <c r="B18" s="390" t="s">
        <v>1695</v>
      </c>
      <c r="C18" s="390"/>
      <c r="D18" s="393">
        <f>+D32+0.1462</f>
        <v>0.62613000000000008</v>
      </c>
      <c r="E18" s="397">
        <f>+F44</f>
        <v>0</v>
      </c>
      <c r="F18" s="391">
        <f>+D18*E18</f>
        <v>0</v>
      </c>
      <c r="H18" s="395">
        <f>+F18-F32</f>
        <v>0</v>
      </c>
      <c r="I18" s="20"/>
    </row>
    <row r="19" spans="1:9">
      <c r="A19" s="22">
        <v>4</v>
      </c>
      <c r="B19" s="390" t="s">
        <v>1696</v>
      </c>
      <c r="C19" s="390"/>
      <c r="D19" s="393">
        <f>+D35+0.02541</f>
        <v>0.50534000000000001</v>
      </c>
      <c r="E19" s="397">
        <f>+F45</f>
        <v>0</v>
      </c>
      <c r="F19" s="391">
        <f>+D19*E19</f>
        <v>0</v>
      </c>
      <c r="H19" s="395">
        <f>+F19-F35</f>
        <v>0</v>
      </c>
      <c r="I19" s="20"/>
    </row>
    <row r="20" spans="1:9">
      <c r="A20" s="390"/>
      <c r="B20" s="390"/>
      <c r="C20" s="390"/>
      <c r="D20" s="393"/>
      <c r="E20" s="397"/>
      <c r="F20" s="391"/>
      <c r="H20" s="395"/>
      <c r="I20" s="20"/>
    </row>
    <row r="21" spans="1:9" ht="16.5" thickBot="1">
      <c r="A21" s="22">
        <v>5</v>
      </c>
      <c r="B21" s="398" t="s">
        <v>874</v>
      </c>
      <c r="C21" s="399"/>
      <c r="D21" s="400"/>
      <c r="E21" s="401">
        <f>SUM(E12:E19)</f>
        <v>16472944</v>
      </c>
      <c r="F21" s="402">
        <f>SUM(F12:F19)</f>
        <v>12463455.49</v>
      </c>
      <c r="H21" s="403">
        <f>+H15+H19+H18+H12</f>
        <v>4313452.8600000013</v>
      </c>
      <c r="I21" s="20"/>
    </row>
    <row r="22" spans="1:9" ht="16.5" thickTop="1">
      <c r="A22" s="390"/>
      <c r="B22" s="390"/>
      <c r="C22" s="390"/>
      <c r="D22" s="392"/>
      <c r="E22" s="390"/>
      <c r="F22" s="391"/>
      <c r="H22" s="20"/>
      <c r="I22" s="20"/>
    </row>
    <row r="23" spans="1:9">
      <c r="A23" s="390"/>
      <c r="B23" s="385" t="s">
        <v>885</v>
      </c>
      <c r="C23" s="390"/>
      <c r="D23" s="392"/>
      <c r="E23" s="390"/>
      <c r="F23" s="391"/>
      <c r="H23" s="20"/>
      <c r="I23" s="20"/>
    </row>
    <row r="24" spans="1:9">
      <c r="A24" s="390"/>
      <c r="B24" s="390" t="s">
        <v>2092</v>
      </c>
      <c r="C24" s="390"/>
      <c r="D24" s="392"/>
      <c r="E24" s="390"/>
      <c r="F24" s="391"/>
      <c r="H24" s="20"/>
      <c r="I24" s="20"/>
    </row>
    <row r="25" spans="1:9">
      <c r="A25" s="22">
        <v>6</v>
      </c>
      <c r="B25" s="390" t="s">
        <v>1697</v>
      </c>
      <c r="C25" s="390"/>
      <c r="D25" s="392"/>
      <c r="E25" s="390"/>
      <c r="F25" s="391"/>
      <c r="H25" s="20"/>
      <c r="I25" s="20"/>
    </row>
    <row r="26" spans="1:9">
      <c r="A26" s="22">
        <v>7</v>
      </c>
      <c r="B26" s="390" t="s">
        <v>886</v>
      </c>
      <c r="C26" s="390"/>
      <c r="D26" s="393">
        <v>0.49569000000000002</v>
      </c>
      <c r="E26" s="394">
        <f>+F42</f>
        <v>10634837</v>
      </c>
      <c r="F26" s="396">
        <f>ROUND(D26*E26,2)</f>
        <v>5271582.3499999996</v>
      </c>
    </row>
    <row r="27" spans="1:9">
      <c r="A27" s="390"/>
      <c r="B27" s="390"/>
      <c r="C27" s="390"/>
      <c r="D27" s="392"/>
      <c r="E27" s="390"/>
      <c r="F27" s="396"/>
    </row>
    <row r="28" spans="1:9">
      <c r="A28" s="22">
        <v>8</v>
      </c>
      <c r="B28" s="390" t="s">
        <v>1698</v>
      </c>
      <c r="C28" s="390"/>
      <c r="D28" s="392"/>
      <c r="E28" s="390"/>
      <c r="F28" s="396"/>
    </row>
    <row r="29" spans="1:9">
      <c r="A29" s="22">
        <v>9</v>
      </c>
      <c r="B29" s="390" t="s">
        <v>886</v>
      </c>
      <c r="C29" s="390"/>
      <c r="D29" s="393">
        <v>0.49303999999999998</v>
      </c>
      <c r="E29" s="404">
        <f>+F43</f>
        <v>5838107</v>
      </c>
      <c r="F29" s="396">
        <f>ROUND(D29*E29,2)</f>
        <v>2878420.28</v>
      </c>
    </row>
    <row r="30" spans="1:9">
      <c r="A30" s="22"/>
      <c r="B30" s="390"/>
      <c r="C30" s="390"/>
      <c r="D30" s="393"/>
      <c r="E30" s="404"/>
      <c r="F30" s="396"/>
    </row>
    <row r="31" spans="1:9">
      <c r="A31" s="22">
        <v>10</v>
      </c>
      <c r="B31" s="390" t="s">
        <v>1699</v>
      </c>
      <c r="C31" s="390"/>
      <c r="D31" s="393"/>
      <c r="E31" s="404"/>
      <c r="F31" s="396"/>
    </row>
    <row r="32" spans="1:9">
      <c r="A32" s="22">
        <v>11</v>
      </c>
      <c r="B32" s="390" t="s">
        <v>886</v>
      </c>
      <c r="C32" s="390"/>
      <c r="D32" s="393">
        <v>0.47993000000000002</v>
      </c>
      <c r="E32" s="404">
        <f>+F44</f>
        <v>0</v>
      </c>
      <c r="F32" s="396">
        <f>+D32*E32</f>
        <v>0</v>
      </c>
    </row>
    <row r="33" spans="1:6">
      <c r="A33" s="22"/>
      <c r="B33" s="390"/>
      <c r="C33" s="390"/>
      <c r="D33" s="393"/>
      <c r="E33" s="404"/>
      <c r="F33" s="396"/>
    </row>
    <row r="34" spans="1:6">
      <c r="A34" s="22">
        <v>12</v>
      </c>
      <c r="B34" s="390" t="s">
        <v>1700</v>
      </c>
      <c r="C34" s="390"/>
      <c r="D34" s="393"/>
      <c r="E34" s="404"/>
      <c r="F34" s="396"/>
    </row>
    <row r="35" spans="1:6">
      <c r="A35" s="22">
        <v>13</v>
      </c>
      <c r="B35" s="390" t="s">
        <v>886</v>
      </c>
      <c r="C35" s="390"/>
      <c r="D35" s="393">
        <v>0.47993000000000002</v>
      </c>
      <c r="E35" s="404">
        <f>+E19</f>
        <v>0</v>
      </c>
      <c r="F35" s="396">
        <f>+D35*E35</f>
        <v>0</v>
      </c>
    </row>
    <row r="36" spans="1:6">
      <c r="A36" s="22"/>
      <c r="B36" s="390"/>
      <c r="C36" s="390"/>
      <c r="D36" s="393"/>
      <c r="E36" s="404"/>
      <c r="F36" s="396"/>
    </row>
    <row r="37" spans="1:6" ht="16.5" thickBot="1">
      <c r="A37" s="22">
        <v>14</v>
      </c>
      <c r="B37" s="390" t="s">
        <v>874</v>
      </c>
      <c r="C37" s="390"/>
      <c r="D37" s="390"/>
      <c r="E37" s="405">
        <f>SUM(E26:E35)</f>
        <v>16472944</v>
      </c>
      <c r="F37" s="406">
        <f>SUM(F26:F35)</f>
        <v>8150002.629999999</v>
      </c>
    </row>
    <row r="38" spans="1:6" ht="16.5" thickTop="1">
      <c r="A38" s="22">
        <v>15</v>
      </c>
      <c r="D38" s="6" t="s">
        <v>1125</v>
      </c>
      <c r="E38" s="6" t="s">
        <v>1980</v>
      </c>
      <c r="F38" s="408" t="s">
        <v>1981</v>
      </c>
    </row>
    <row r="39" spans="1:6">
      <c r="A39" s="22">
        <v>16</v>
      </c>
      <c r="D39" s="6" t="s">
        <v>1126</v>
      </c>
      <c r="E39" s="6" t="s">
        <v>1979</v>
      </c>
      <c r="F39" s="408" t="s">
        <v>1982</v>
      </c>
    </row>
    <row r="40" spans="1:6">
      <c r="A40" s="22">
        <v>17</v>
      </c>
      <c r="D40" s="6" t="s">
        <v>1979</v>
      </c>
      <c r="E40" s="6"/>
      <c r="F40" s="6" t="s">
        <v>55</v>
      </c>
    </row>
    <row r="41" spans="1:6">
      <c r="A41" s="22">
        <v>18</v>
      </c>
      <c r="D41" s="347" t="s">
        <v>1976</v>
      </c>
      <c r="E41" s="409" t="s">
        <v>1977</v>
      </c>
      <c r="F41" s="410"/>
    </row>
    <row r="42" spans="1:6">
      <c r="A42" s="22">
        <v>19</v>
      </c>
      <c r="B42" s="390" t="s">
        <v>882</v>
      </c>
      <c r="D42" s="1206">
        <f>E42+F42</f>
        <v>117473081</v>
      </c>
      <c r="E42" s="412">
        <f>77646605+29191639</f>
        <v>106838244</v>
      </c>
      <c r="F42" s="1205">
        <v>10634837</v>
      </c>
    </row>
    <row r="43" spans="1:6">
      <c r="A43" s="22">
        <v>20</v>
      </c>
      <c r="B43" s="390" t="s">
        <v>884</v>
      </c>
      <c r="D43" s="1206">
        <f>E43+F43</f>
        <v>81588957</v>
      </c>
      <c r="E43" s="412">
        <f>55961538+19789312</f>
        <v>75750850</v>
      </c>
      <c r="F43" s="1205">
        <v>5838107</v>
      </c>
    </row>
    <row r="44" spans="1:6">
      <c r="A44" s="22">
        <v>21</v>
      </c>
      <c r="B44" s="390" t="s">
        <v>1695</v>
      </c>
      <c r="D44" s="1206">
        <f>E44+F44</f>
        <v>10823791</v>
      </c>
      <c r="E44" s="412">
        <f>1521701+4967619+4334471</f>
        <v>10823791</v>
      </c>
      <c r="F44" s="1205"/>
    </row>
    <row r="45" spans="1:6">
      <c r="A45" s="22">
        <v>22</v>
      </c>
      <c r="B45" s="390" t="s">
        <v>1696</v>
      </c>
      <c r="D45" s="1206">
        <f>E45+F45</f>
        <v>10292787</v>
      </c>
      <c r="E45" s="412">
        <f>7195184+2872027+225576</f>
        <v>10292787</v>
      </c>
      <c r="F45" s="1205"/>
    </row>
    <row r="46" spans="1:6">
      <c r="D46" s="1204">
        <f>SUM(D42:D45)</f>
        <v>220178616</v>
      </c>
      <c r="F46" s="1203">
        <f>SUM(F42:F45)</f>
        <v>16472944</v>
      </c>
    </row>
    <row r="47" spans="1:6">
      <c r="D47" s="4" t="s">
        <v>50</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Name:&amp;A&amp;R&amp;"Times New Roman,Regular"&amp;9 26678.897\4829-5163-7600.v1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58"/>
  <sheetViews>
    <sheetView workbookViewId="0">
      <selection activeCell="B4" sqref="B4:M4"/>
    </sheetView>
  </sheetViews>
  <sheetFormatPr defaultColWidth="9.140625" defaultRowHeight="15"/>
  <cols>
    <col min="4" max="4" width="14" bestFit="1" customWidth="1"/>
    <col min="8" max="8" width="14.42578125" bestFit="1" customWidth="1"/>
    <col min="10" max="10" width="15" bestFit="1" customWidth="1"/>
    <col min="12" max="12" width="35.28515625" bestFit="1" customWidth="1"/>
    <col min="13" max="13" width="12.7109375" bestFit="1" customWidth="1"/>
    <col min="15" max="15" width="27.7109375" bestFit="1" customWidth="1"/>
  </cols>
  <sheetData>
    <row r="1" spans="1:15" ht="15.75">
      <c r="B1" s="1277"/>
      <c r="C1" s="1277"/>
      <c r="D1" s="1277"/>
      <c r="E1" s="1277"/>
      <c r="F1" s="1277"/>
      <c r="G1" s="1277"/>
      <c r="H1" s="1277"/>
    </row>
    <row r="2" spans="1:15" ht="15.75">
      <c r="B2" s="1301" t="s">
        <v>53</v>
      </c>
      <c r="C2" s="1301"/>
      <c r="D2" s="1301"/>
      <c r="E2" s="1301"/>
      <c r="F2" s="1301"/>
      <c r="G2" s="1301"/>
      <c r="H2" s="1301"/>
      <c r="I2" s="1301"/>
      <c r="J2" s="1301"/>
      <c r="K2" s="1301"/>
      <c r="L2" s="1301"/>
      <c r="M2" s="1301"/>
    </row>
    <row r="3" spans="1:15" ht="15.75">
      <c r="B3" s="1301" t="s">
        <v>1659</v>
      </c>
      <c r="C3" s="1301"/>
      <c r="D3" s="1301"/>
      <c r="E3" s="1301"/>
      <c r="F3" s="1301"/>
      <c r="G3" s="1301"/>
      <c r="H3" s="1301"/>
      <c r="I3" s="1301"/>
      <c r="J3" s="1301"/>
      <c r="K3" s="1301"/>
      <c r="L3" s="1301"/>
      <c r="M3" s="1301"/>
    </row>
    <row r="4" spans="1:15" ht="15.75">
      <c r="B4" s="1301"/>
      <c r="C4" s="1301"/>
      <c r="D4" s="1301"/>
      <c r="E4" s="1301"/>
      <c r="F4" s="1301"/>
      <c r="G4" s="1301"/>
      <c r="H4" s="1301"/>
      <c r="I4" s="1301"/>
      <c r="J4" s="1301"/>
      <c r="K4" s="1301"/>
      <c r="L4" s="1301"/>
      <c r="M4" s="1301"/>
    </row>
    <row r="5" spans="1:15" ht="15.75">
      <c r="B5" s="1301" t="s">
        <v>1677</v>
      </c>
      <c r="C5" s="1301"/>
      <c r="D5" s="1301"/>
      <c r="E5" s="1301"/>
      <c r="F5" s="1301"/>
      <c r="G5" s="1301"/>
      <c r="H5" s="1301"/>
      <c r="I5" s="1301"/>
      <c r="J5" s="1301"/>
      <c r="K5" s="1301"/>
      <c r="L5" s="1301"/>
      <c r="M5" s="1301"/>
    </row>
    <row r="6" spans="1:15" ht="15.75">
      <c r="B6" s="1301" t="s">
        <v>971</v>
      </c>
      <c r="C6" s="1301"/>
      <c r="D6" s="1301"/>
      <c r="E6" s="1301"/>
      <c r="F6" s="1301"/>
      <c r="G6" s="1301"/>
      <c r="H6" s="1301"/>
      <c r="I6" s="1301"/>
      <c r="J6" s="1301"/>
      <c r="K6" s="1301"/>
      <c r="L6" s="1301"/>
      <c r="M6" s="1301"/>
    </row>
    <row r="7" spans="1:15" ht="15.75">
      <c r="D7" s="26"/>
    </row>
    <row r="8" spans="1:15" ht="15.75">
      <c r="A8" s="6"/>
      <c r="B8" s="6" t="s">
        <v>1689</v>
      </c>
      <c r="C8" s="6" t="s">
        <v>1687</v>
      </c>
      <c r="D8" s="6" t="s">
        <v>1688</v>
      </c>
      <c r="E8" s="6"/>
      <c r="F8" s="6" t="s">
        <v>1691</v>
      </c>
      <c r="G8" s="6"/>
      <c r="H8" s="6" t="s">
        <v>1692</v>
      </c>
      <c r="I8" s="6" t="s">
        <v>1701</v>
      </c>
      <c r="J8" s="419" t="s">
        <v>1702</v>
      </c>
      <c r="K8" s="6"/>
      <c r="L8" s="6" t="s">
        <v>1703</v>
      </c>
      <c r="M8" s="6" t="s">
        <v>1704</v>
      </c>
      <c r="N8" s="6"/>
      <c r="O8" s="6"/>
    </row>
    <row r="9" spans="1:15" ht="15.75">
      <c r="A9" s="420" t="s">
        <v>1166</v>
      </c>
      <c r="D9" s="26"/>
    </row>
    <row r="10" spans="1:15" ht="15.75">
      <c r="A10" s="420"/>
      <c r="D10" s="6" t="s">
        <v>1125</v>
      </c>
      <c r="O10" s="1223" t="s">
        <v>2313</v>
      </c>
    </row>
    <row r="11" spans="1:15" ht="15.75">
      <c r="A11" s="420"/>
      <c r="D11" s="6" t="s">
        <v>1126</v>
      </c>
      <c r="F11" s="6" t="s">
        <v>885</v>
      </c>
      <c r="H11" s="421" t="s">
        <v>885</v>
      </c>
      <c r="O11" s="1223">
        <v>1.0463677296140168</v>
      </c>
    </row>
    <row r="12" spans="1:15" ht="15.75">
      <c r="A12" s="13" t="s">
        <v>879</v>
      </c>
      <c r="D12" s="21" t="s">
        <v>880</v>
      </c>
      <c r="F12" s="6" t="s">
        <v>1352</v>
      </c>
      <c r="H12" s="421" t="s">
        <v>956</v>
      </c>
      <c r="O12" s="1223"/>
    </row>
    <row r="13" spans="1:15" ht="15.75">
      <c r="A13" s="6">
        <v>1</v>
      </c>
      <c r="B13" s="6">
        <v>503</v>
      </c>
      <c r="C13" s="4" t="s">
        <v>2029</v>
      </c>
      <c r="D13" s="1216">
        <v>121046013.892968</v>
      </c>
      <c r="F13" s="43">
        <v>0.49569000000000002</v>
      </c>
      <c r="H13" s="423">
        <v>60001298.62660531</v>
      </c>
      <c r="O13" s="1223">
        <v>0.49706652627584258</v>
      </c>
    </row>
    <row r="14" spans="1:15" ht="15.75">
      <c r="A14" s="6"/>
      <c r="B14" s="6"/>
      <c r="D14" s="422"/>
      <c r="F14" s="43"/>
      <c r="H14" s="423"/>
    </row>
    <row r="15" spans="1:15" ht="15.75">
      <c r="A15" s="6">
        <v>2</v>
      </c>
      <c r="B15" s="6">
        <v>504</v>
      </c>
      <c r="C15" s="4" t="s">
        <v>2030</v>
      </c>
      <c r="D15" s="1216">
        <v>83890933.665349752</v>
      </c>
      <c r="F15" s="43">
        <v>0.49303999999999998</v>
      </c>
      <c r="H15" s="423">
        <v>41361585.934364043</v>
      </c>
    </row>
    <row r="16" spans="1:15" ht="15.75">
      <c r="A16" s="6"/>
      <c r="B16" s="6"/>
      <c r="D16" s="422"/>
      <c r="F16" s="43"/>
      <c r="H16" s="423"/>
    </row>
    <row r="17" spans="1:16" ht="15.75">
      <c r="A17" s="6">
        <v>3</v>
      </c>
      <c r="B17" s="6">
        <v>505</v>
      </c>
      <c r="C17" s="4" t="s">
        <v>2031</v>
      </c>
      <c r="D17" s="1216">
        <v>10823791</v>
      </c>
      <c r="F17" s="43">
        <v>0.47993000000000002</v>
      </c>
      <c r="H17" s="423">
        <v>5194662.0146300001</v>
      </c>
    </row>
    <row r="18" spans="1:16" ht="15.75">
      <c r="A18" s="6"/>
      <c r="B18" s="6"/>
      <c r="D18" s="422"/>
      <c r="F18" s="43"/>
      <c r="H18" s="423"/>
    </row>
    <row r="19" spans="1:16" ht="15.75">
      <c r="A19" s="6">
        <v>4</v>
      </c>
      <c r="B19" s="6">
        <v>511</v>
      </c>
      <c r="C19" s="4" t="s">
        <v>2032</v>
      </c>
      <c r="D19" s="1216">
        <v>10292787</v>
      </c>
      <c r="F19" s="43">
        <v>0.47993000000000002</v>
      </c>
      <c r="H19" s="423">
        <v>4939817.2649100004</v>
      </c>
    </row>
    <row r="20" spans="1:16" ht="15.75">
      <c r="A20" s="6"/>
      <c r="B20" s="6"/>
      <c r="D20" s="422"/>
      <c r="F20" s="43"/>
      <c r="H20" s="423"/>
    </row>
    <row r="21" spans="1:16" ht="15.75">
      <c r="A21" s="6">
        <v>5</v>
      </c>
      <c r="B21" s="6">
        <v>570</v>
      </c>
      <c r="C21" s="4" t="s">
        <v>2033</v>
      </c>
      <c r="D21" s="1216">
        <v>3848935.3459285335</v>
      </c>
      <c r="F21" s="43">
        <v>0.46687000000000001</v>
      </c>
      <c r="H21" s="424">
        <v>1796952.4449536544</v>
      </c>
    </row>
    <row r="22" spans="1:16" ht="15.75">
      <c r="A22" s="6"/>
      <c r="B22" s="6"/>
      <c r="D22" s="26"/>
      <c r="H22" s="88"/>
    </row>
    <row r="23" spans="1:16" ht="15.75">
      <c r="A23" s="6">
        <v>6</v>
      </c>
      <c r="B23" s="4" t="s">
        <v>1964</v>
      </c>
      <c r="D23" s="26"/>
      <c r="H23" s="88">
        <v>113294316.28546301</v>
      </c>
      <c r="I23" s="1214" t="s">
        <v>2312</v>
      </c>
    </row>
    <row r="24" spans="1:16" ht="15.75">
      <c r="A24" s="6"/>
      <c r="G24" s="1217"/>
      <c r="H24" s="1217"/>
      <c r="I24" s="1217"/>
    </row>
    <row r="25" spans="1:16" ht="15.75">
      <c r="A25" s="6"/>
      <c r="B25" s="4" t="s">
        <v>1128</v>
      </c>
      <c r="G25" s="1217"/>
      <c r="H25" s="1217"/>
      <c r="I25" s="1217"/>
      <c r="M25" s="419" t="s">
        <v>956</v>
      </c>
      <c r="O25" s="1214" t="s">
        <v>2311</v>
      </c>
    </row>
    <row r="26" spans="1:16" ht="15.75">
      <c r="A26" s="6">
        <v>7</v>
      </c>
      <c r="C26" s="4" t="s">
        <v>2023</v>
      </c>
      <c r="G26" s="1217"/>
      <c r="H26" s="1217"/>
      <c r="I26" s="1217"/>
      <c r="J26" s="1222">
        <v>110133416.64000002</v>
      </c>
      <c r="M26" s="419" t="s">
        <v>55</v>
      </c>
      <c r="O26" s="1220">
        <v>110133416.64000002</v>
      </c>
      <c r="P26" s="4" t="s">
        <v>2310</v>
      </c>
    </row>
    <row r="27" spans="1:16" ht="15.75">
      <c r="A27" s="6">
        <v>8</v>
      </c>
      <c r="C27" s="4" t="s">
        <v>2024</v>
      </c>
      <c r="G27" s="1217"/>
      <c r="H27" s="1217"/>
      <c r="I27" s="1217"/>
      <c r="J27" s="1222">
        <v>8150002.629999999</v>
      </c>
      <c r="M27" s="88"/>
      <c r="O27" s="1220">
        <v>8150002.629999999</v>
      </c>
      <c r="P27" s="4" t="s">
        <v>2305</v>
      </c>
    </row>
    <row r="28" spans="1:16" ht="15.75">
      <c r="A28" s="6">
        <v>9</v>
      </c>
      <c r="C28" s="4" t="s">
        <v>1965</v>
      </c>
      <c r="G28" s="1217"/>
      <c r="I28" s="1219" t="s">
        <v>11</v>
      </c>
      <c r="J28" s="1218">
        <v>488031.55000002589</v>
      </c>
      <c r="L28" s="88">
        <v>118771450.82000004</v>
      </c>
      <c r="M28" s="1221">
        <v>-5477134.5345370322</v>
      </c>
      <c r="O28" s="1220">
        <v>488031.5500000295</v>
      </c>
      <c r="P28" s="4" t="s">
        <v>2309</v>
      </c>
    </row>
    <row r="29" spans="1:16" ht="15.75">
      <c r="A29" s="6">
        <v>10</v>
      </c>
      <c r="C29" s="4" t="s">
        <v>2034</v>
      </c>
      <c r="G29" s="1217"/>
      <c r="I29" s="1219" t="s">
        <v>1587</v>
      </c>
      <c r="J29" s="1218">
        <v>346008.79999999795</v>
      </c>
      <c r="L29" s="88">
        <v>346008.79999999795</v>
      </c>
      <c r="M29" s="428">
        <v>-346008.79999999795</v>
      </c>
      <c r="O29" s="1212">
        <v>118771450.82000004</v>
      </c>
    </row>
    <row r="30" spans="1:16" ht="15.75">
      <c r="A30" s="420" t="s">
        <v>1165</v>
      </c>
      <c r="G30" s="1217"/>
      <c r="H30" s="1217"/>
      <c r="I30" s="1217"/>
      <c r="J30" s="34"/>
      <c r="L30" s="88"/>
      <c r="M30" s="88"/>
    </row>
    <row r="32" spans="1:16" ht="15.75">
      <c r="B32" s="6" t="s">
        <v>1122</v>
      </c>
      <c r="C32" s="6"/>
      <c r="D32" s="6" t="s">
        <v>1125</v>
      </c>
      <c r="E32" s="6"/>
      <c r="F32" s="6" t="s">
        <v>1123</v>
      </c>
      <c r="G32" s="6"/>
      <c r="H32" s="6" t="s">
        <v>1124</v>
      </c>
      <c r="I32" s="6"/>
      <c r="J32" s="6" t="s">
        <v>52</v>
      </c>
      <c r="K32" s="6"/>
      <c r="L32" s="6" t="s">
        <v>970</v>
      </c>
    </row>
    <row r="33" spans="1:16" ht="15.75">
      <c r="B33" s="6"/>
      <c r="D33" s="6" t="s">
        <v>1126</v>
      </c>
      <c r="F33" s="6" t="s">
        <v>1127</v>
      </c>
      <c r="G33" s="6"/>
      <c r="H33" s="6" t="s">
        <v>1127</v>
      </c>
      <c r="J33" s="6" t="s">
        <v>2035</v>
      </c>
    </row>
    <row r="34" spans="1:16" ht="15.75">
      <c r="B34" s="6"/>
      <c r="D34" s="6" t="s">
        <v>880</v>
      </c>
      <c r="J34" s="6" t="s">
        <v>2036</v>
      </c>
    </row>
    <row r="35" spans="1:16" ht="15.75">
      <c r="A35" s="13" t="s">
        <v>879</v>
      </c>
      <c r="B35" s="6"/>
      <c r="D35" s="26"/>
      <c r="L35" s="88"/>
    </row>
    <row r="36" spans="1:16" ht="15.75">
      <c r="A36" s="6">
        <v>11</v>
      </c>
      <c r="B36" s="6">
        <v>503</v>
      </c>
      <c r="D36" s="1216">
        <v>121046013.892968</v>
      </c>
      <c r="F36" s="43">
        <v>0.30640000000000001</v>
      </c>
      <c r="H36" s="4">
        <v>0.16864000000000001</v>
      </c>
      <c r="J36" s="43">
        <v>0.47504000000000002</v>
      </c>
      <c r="L36" s="423">
        <v>57501698.43971552</v>
      </c>
    </row>
    <row r="37" spans="1:16" ht="15.75">
      <c r="A37" s="6"/>
      <c r="B37" s="6"/>
      <c r="D37" s="422"/>
      <c r="F37" s="43"/>
      <c r="J37" s="43"/>
      <c r="L37" s="423"/>
    </row>
    <row r="38" spans="1:16" ht="15.75">
      <c r="A38" s="6">
        <v>12</v>
      </c>
      <c r="B38" s="6">
        <v>504</v>
      </c>
      <c r="D38" s="1216">
        <v>83890933.665349752</v>
      </c>
      <c r="F38" s="43">
        <v>0.30640000000000001</v>
      </c>
      <c r="H38" s="43">
        <v>0.1661</v>
      </c>
      <c r="J38" s="43">
        <v>0.47250000000000003</v>
      </c>
      <c r="L38" s="423">
        <v>39638466.156877764</v>
      </c>
    </row>
    <row r="39" spans="1:16" ht="15.75">
      <c r="A39" s="6"/>
      <c r="B39" s="6"/>
      <c r="D39" s="422"/>
      <c r="F39" s="43"/>
      <c r="J39" s="43"/>
      <c r="L39" s="423"/>
    </row>
    <row r="40" spans="1:16" ht="15.75">
      <c r="A40" s="6">
        <v>13</v>
      </c>
      <c r="B40" s="6">
        <v>505</v>
      </c>
      <c r="D40" s="1216">
        <v>10823791</v>
      </c>
      <c r="F40" s="43">
        <v>0.30640000000000001</v>
      </c>
      <c r="H40" s="4">
        <v>0.15354999999999999</v>
      </c>
      <c r="J40" s="43">
        <v>0.45994999999999997</v>
      </c>
      <c r="L40" s="423">
        <v>4978402.6704500001</v>
      </c>
    </row>
    <row r="41" spans="1:16" ht="15.75">
      <c r="A41" s="6"/>
      <c r="B41" s="6"/>
      <c r="D41" s="422"/>
      <c r="F41" s="43"/>
      <c r="J41" s="43"/>
      <c r="L41" s="423"/>
    </row>
    <row r="42" spans="1:16" ht="15.75">
      <c r="A42" s="6">
        <v>14</v>
      </c>
      <c r="B42" s="6">
        <v>511</v>
      </c>
      <c r="D42" s="1216">
        <v>10292787</v>
      </c>
      <c r="F42" s="43">
        <v>0.30640000000000001</v>
      </c>
      <c r="H42" s="4">
        <v>0.15354999999999999</v>
      </c>
      <c r="J42" s="43">
        <v>0.45994999999999997</v>
      </c>
      <c r="L42" s="423">
        <v>4734167.3806499997</v>
      </c>
    </row>
    <row r="43" spans="1:16" ht="15.75">
      <c r="A43" s="6"/>
      <c r="B43" s="6"/>
      <c r="D43" s="422"/>
      <c r="F43" s="43"/>
      <c r="J43" s="43"/>
      <c r="L43" s="423"/>
    </row>
    <row r="44" spans="1:16" ht="15.75">
      <c r="A44" s="6">
        <v>15</v>
      </c>
      <c r="B44" s="6">
        <v>570</v>
      </c>
      <c r="D44" s="1216">
        <v>3848935.3459285335</v>
      </c>
      <c r="F44" s="43">
        <v>0.30640000000000001</v>
      </c>
      <c r="H44" s="4">
        <v>0.14105000000000001</v>
      </c>
      <c r="J44" s="43">
        <v>0.44745000000000001</v>
      </c>
      <c r="L44" s="424">
        <v>1722206.1205357225</v>
      </c>
    </row>
    <row r="45" spans="1:16" ht="15.75">
      <c r="A45" s="6"/>
      <c r="B45" s="6"/>
      <c r="D45" s="26"/>
      <c r="M45" s="6" t="s">
        <v>885</v>
      </c>
    </row>
    <row r="46" spans="1:16" ht="15.75">
      <c r="A46" s="6">
        <v>16</v>
      </c>
      <c r="B46" s="4" t="s">
        <v>1963</v>
      </c>
      <c r="L46" s="88">
        <v>108574940.76822901</v>
      </c>
      <c r="M46" s="6" t="s">
        <v>55</v>
      </c>
    </row>
    <row r="47" spans="1:16" ht="15.75">
      <c r="A47" s="6"/>
      <c r="L47" s="1214" t="s">
        <v>2308</v>
      </c>
    </row>
    <row r="48" spans="1:16" ht="15.75">
      <c r="A48" s="6">
        <v>17</v>
      </c>
      <c r="B48" s="4" t="s">
        <v>1961</v>
      </c>
      <c r="L48" s="88">
        <v>111743867.15000001</v>
      </c>
      <c r="M48" s="1215">
        <v>-3168926.3817709982</v>
      </c>
      <c r="O48" s="1213">
        <v>103593864.52000001</v>
      </c>
      <c r="P48" s="4" t="s">
        <v>2307</v>
      </c>
    </row>
    <row r="49" spans="3:16" ht="15.75">
      <c r="C49" s="4" t="s">
        <v>1962</v>
      </c>
      <c r="L49" s="1214" t="s">
        <v>2306</v>
      </c>
      <c r="O49" s="1213">
        <v>8150002.629999999</v>
      </c>
      <c r="P49" s="4" t="s">
        <v>2305</v>
      </c>
    </row>
    <row r="50" spans="3:16" ht="15.75">
      <c r="L50" s="88"/>
      <c r="M50" s="88"/>
      <c r="O50" s="1212">
        <v>111743867.15000001</v>
      </c>
    </row>
    <row r="52" spans="3:16" ht="15.75">
      <c r="L52" s="88"/>
      <c r="M52" s="88"/>
    </row>
    <row r="53" spans="3:16" ht="15.75">
      <c r="J53" s="34"/>
      <c r="L53" s="88"/>
    </row>
    <row r="54" spans="3:16" ht="15.75">
      <c r="L54" s="88"/>
    </row>
    <row r="55" spans="3:16" ht="15.75">
      <c r="L55" s="88"/>
    </row>
    <row r="57" spans="3:16" ht="15.75">
      <c r="J57" s="34"/>
      <c r="L57" s="88"/>
      <c r="M57" s="88"/>
    </row>
    <row r="58" spans="3:16" ht="15.75">
      <c r="J58" s="34"/>
      <c r="L58" s="88"/>
      <c r="M58" s="278"/>
    </row>
  </sheetData>
  <mergeCells count="6">
    <mergeCell ref="B6:M6"/>
    <mergeCell ref="B1:H1"/>
    <mergeCell ref="B2:M2"/>
    <mergeCell ref="B3:M3"/>
    <mergeCell ref="B4:M4"/>
    <mergeCell ref="B5:M5"/>
  </mergeCells>
  <pageMargins left="0.7" right="0.7" top="0.75" bottom="0.75" header="0.3" footer="0.3"/>
  <pageSetup orientation="portrait" r:id="rId1"/>
  <headerFooter>
    <oddFooter>&amp;R&amp;"Times New Roman,Regular"&amp;9 26678.897\4829-5163-7600.v1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2"/>
  <sheetViews>
    <sheetView zoomScaleNormal="100" workbookViewId="0"/>
  </sheetViews>
  <sheetFormatPr defaultColWidth="14" defaultRowHeight="15"/>
  <cols>
    <col min="1" max="1" width="2.140625" style="915" bestFit="1" customWidth="1"/>
    <col min="2" max="2" width="22.28515625" style="915" customWidth="1"/>
    <col min="3" max="3" width="8.85546875" style="970" customWidth="1"/>
    <col min="4" max="4" width="29.7109375" style="915" customWidth="1"/>
    <col min="5" max="5" width="14" style="915"/>
    <col min="6" max="6" width="18.42578125" style="915" bestFit="1" customWidth="1"/>
    <col min="7" max="7" width="22.28515625" style="915" customWidth="1"/>
    <col min="8" max="16384" width="14" style="915"/>
  </cols>
  <sheetData>
    <row r="1" spans="1:6">
      <c r="A1" s="968" t="s">
        <v>108</v>
      </c>
      <c r="B1" s="968"/>
      <c r="C1" s="969"/>
    </row>
    <row r="2" spans="1:6">
      <c r="A2" s="968" t="s">
        <v>107</v>
      </c>
      <c r="B2" s="968"/>
    </row>
    <row r="3" spans="1:6">
      <c r="A3" s="982" t="s">
        <v>976</v>
      </c>
      <c r="B3" s="968"/>
    </row>
    <row r="4" spans="1:6">
      <c r="A4" s="915" t="s">
        <v>2281</v>
      </c>
    </row>
    <row r="5" spans="1:6" s="971" customFormat="1">
      <c r="A5" s="972"/>
      <c r="B5" s="972"/>
      <c r="C5" s="973"/>
    </row>
    <row r="6" spans="1:6">
      <c r="A6" s="974"/>
      <c r="B6" s="974"/>
      <c r="C6" s="975"/>
      <c r="F6" s="925"/>
    </row>
    <row r="7" spans="1:6">
      <c r="C7" s="970">
        <v>1</v>
      </c>
      <c r="D7" s="915" t="s">
        <v>65</v>
      </c>
      <c r="F7" s="925">
        <f>+'2) ROO Summary Sheet'!H39</f>
        <v>288720306.60177088</v>
      </c>
    </row>
    <row r="8" spans="1:6">
      <c r="C8" s="970">
        <v>2</v>
      </c>
      <c r="D8" s="915" t="s">
        <v>15</v>
      </c>
      <c r="F8" s="976">
        <f>+'5) Cost of Capital'!J14</f>
        <v>7.3480000000000004E-2</v>
      </c>
    </row>
    <row r="10" spans="1:6">
      <c r="C10" s="970">
        <v>3</v>
      </c>
      <c r="D10" s="915" t="s">
        <v>66</v>
      </c>
      <c r="F10" s="977">
        <f>+F7*F8</f>
        <v>21215168.129098125</v>
      </c>
    </row>
    <row r="11" spans="1:6">
      <c r="C11" s="970">
        <v>4</v>
      </c>
      <c r="D11" s="915" t="s">
        <v>67</v>
      </c>
      <c r="F11" s="978">
        <f>+'2) ROO Summary Sheet'!H30</f>
        <v>28695504.899078399</v>
      </c>
    </row>
    <row r="12" spans="1:6">
      <c r="F12" s="977"/>
    </row>
    <row r="13" spans="1:6">
      <c r="C13" s="970">
        <v>5</v>
      </c>
      <c r="D13" s="915" t="s">
        <v>70</v>
      </c>
      <c r="F13" s="977">
        <f>+F10-F11</f>
        <v>-7480336.7699802741</v>
      </c>
    </row>
    <row r="15" spans="1:6">
      <c r="C15" s="970">
        <v>6</v>
      </c>
      <c r="D15" s="915" t="s">
        <v>68</v>
      </c>
      <c r="F15" s="979">
        <f>+'4) Conversion Factor'!F26</f>
        <v>0.75499270250948436</v>
      </c>
    </row>
    <row r="17" spans="1:6" ht="15.75" thickBot="1">
      <c r="C17" s="970">
        <v>7</v>
      </c>
      <c r="D17" s="915" t="s">
        <v>69</v>
      </c>
      <c r="F17" s="980">
        <f>+F13/F15</f>
        <v>-9907826.5857626684</v>
      </c>
    </row>
    <row r="18" spans="1:6" ht="15.75" thickTop="1">
      <c r="F18" s="977"/>
    </row>
    <row r="19" spans="1:6">
      <c r="C19" s="970">
        <v>8</v>
      </c>
      <c r="D19" s="915" t="s">
        <v>104</v>
      </c>
      <c r="F19" s="977">
        <f>+'2) ROO Summary Sheet'!H13</f>
        <v>219173609.02029479</v>
      </c>
    </row>
    <row r="21" spans="1:6">
      <c r="C21" s="970">
        <v>9</v>
      </c>
      <c r="D21" s="915" t="s">
        <v>1627</v>
      </c>
      <c r="F21" s="981">
        <f>+F17/F19</f>
        <v>-4.5205381387159779E-2</v>
      </c>
    </row>
    <row r="22" spans="1:6">
      <c r="A22" s="915">
        <v>9</v>
      </c>
    </row>
  </sheetData>
  <printOptions horizontalCentered="1"/>
  <pageMargins left="0.25" right="0.25" top="0.5" bottom="0.75" header="0" footer="0.3"/>
  <pageSetup scale="80" orientation="portrait" r:id="rId1"/>
  <headerFooter scaleWithDoc="0" alignWithMargins="0">
    <oddFooter>&amp;R&amp;"Times New Roman,Regular"&amp;9 26678.897\4829-5163-7600.v1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3"/>
  <sheetViews>
    <sheetView zoomScaleNormal="100" workbookViewId="0"/>
  </sheetViews>
  <sheetFormatPr defaultColWidth="9.140625" defaultRowHeight="15.75"/>
  <cols>
    <col min="1" max="1" width="17" style="4" customWidth="1"/>
    <col min="2" max="2" width="34" style="4" bestFit="1" customWidth="1"/>
    <col min="3" max="3" width="3.42578125" style="4" customWidth="1"/>
    <col min="4" max="4" width="25.85546875" style="43" customWidth="1"/>
    <col min="5" max="5" width="3.42578125" style="43" customWidth="1"/>
    <col min="6" max="6" width="25.85546875" style="4" customWidth="1"/>
    <col min="7" max="7" width="17" style="4" customWidth="1"/>
    <col min="8" max="16384" width="9.140625" style="4"/>
  </cols>
  <sheetData>
    <row r="1" spans="1:9">
      <c r="A1" s="984" t="s">
        <v>53</v>
      </c>
      <c r="C1" s="984"/>
      <c r="D1" s="984"/>
      <c r="E1" s="984"/>
    </row>
    <row r="2" spans="1:9">
      <c r="A2" s="1001" t="s">
        <v>2284</v>
      </c>
      <c r="C2" s="984"/>
      <c r="D2" s="984"/>
      <c r="E2" s="984"/>
    </row>
    <row r="3" spans="1:9">
      <c r="A3" s="1002" t="s">
        <v>971</v>
      </c>
      <c r="C3" s="992"/>
      <c r="D3" s="992"/>
      <c r="E3" s="992"/>
    </row>
    <row r="4" spans="1:9">
      <c r="B4" s="993"/>
      <c r="C4" s="993"/>
      <c r="D4" s="993"/>
      <c r="E4" s="993"/>
      <c r="F4" s="17"/>
    </row>
    <row r="5" spans="1:9">
      <c r="B5" s="42"/>
      <c r="C5" s="42"/>
      <c r="D5" s="1004" t="s">
        <v>2285</v>
      </c>
      <c r="E5" s="1003"/>
      <c r="F5" s="431" t="s">
        <v>2286</v>
      </c>
    </row>
    <row r="6" spans="1:9">
      <c r="B6" s="42"/>
      <c r="C6" s="42"/>
      <c r="D6" s="985"/>
      <c r="E6" s="993"/>
      <c r="F6" s="17"/>
    </row>
    <row r="7" spans="1:9">
      <c r="B7" s="42" t="s">
        <v>16</v>
      </c>
      <c r="C7" s="42"/>
      <c r="D7" s="985">
        <v>1</v>
      </c>
      <c r="E7" s="985"/>
      <c r="F7" s="985">
        <v>1</v>
      </c>
    </row>
    <row r="8" spans="1:9">
      <c r="B8" s="986" t="s">
        <v>17</v>
      </c>
      <c r="C8" s="42"/>
      <c r="D8" s="985"/>
      <c r="E8" s="985"/>
      <c r="F8" s="985"/>
    </row>
    <row r="9" spans="1:9">
      <c r="B9" s="987" t="s">
        <v>18</v>
      </c>
      <c r="C9" s="42"/>
      <c r="D9" s="998">
        <f>+'Operating Report'!G90/'Operating Report'!G27</f>
        <v>3.7930347981210235E-3</v>
      </c>
      <c r="E9" s="985"/>
      <c r="F9" s="998">
        <f>+D9</f>
        <v>3.7930347981210235E-3</v>
      </c>
    </row>
    <row r="10" spans="1:9">
      <c r="B10" s="987" t="s">
        <v>895</v>
      </c>
      <c r="C10" s="42"/>
      <c r="D10" s="998">
        <v>3.8519999999999999E-2</v>
      </c>
      <c r="E10" s="985"/>
      <c r="F10" s="998">
        <f>+D10</f>
        <v>3.8519999999999999E-2</v>
      </c>
    </row>
    <row r="11" spans="1:9">
      <c r="B11" s="987" t="s">
        <v>894</v>
      </c>
      <c r="C11" s="42"/>
      <c r="D11" s="998">
        <v>2E-3</v>
      </c>
      <c r="E11" s="985"/>
      <c r="F11" s="998">
        <f>+D11</f>
        <v>2E-3</v>
      </c>
    </row>
    <row r="12" spans="1:9">
      <c r="B12" s="986" t="s">
        <v>19</v>
      </c>
      <c r="C12" s="42"/>
      <c r="D12" s="988"/>
      <c r="E12" s="985"/>
      <c r="F12" s="988"/>
      <c r="I12" s="17"/>
    </row>
    <row r="13" spans="1:9" ht="16.5" thickBot="1">
      <c r="B13" s="986" t="s">
        <v>20</v>
      </c>
      <c r="C13" s="42"/>
      <c r="D13" s="989">
        <f>+D7-SUM(D9:D12)</f>
        <v>0.95568696520187901</v>
      </c>
      <c r="E13" s="985"/>
      <c r="F13" s="989">
        <f>+F7-SUM(F9:F12)</f>
        <v>0.95568696520187901</v>
      </c>
    </row>
    <row r="14" spans="1:9">
      <c r="B14" s="990"/>
      <c r="C14" s="42"/>
      <c r="D14" s="985"/>
      <c r="E14" s="985"/>
      <c r="F14" s="985"/>
    </row>
    <row r="15" spans="1:9" ht="16.5" thickBot="1">
      <c r="B15" s="986" t="s">
        <v>21</v>
      </c>
      <c r="C15" s="42"/>
      <c r="D15" s="991">
        <v>0</v>
      </c>
      <c r="E15" s="985"/>
      <c r="F15" s="991">
        <v>0</v>
      </c>
    </row>
    <row r="16" spans="1:9">
      <c r="B16" s="990"/>
      <c r="C16" s="42"/>
      <c r="D16" s="985"/>
      <c r="E16" s="985"/>
      <c r="F16" s="985"/>
    </row>
    <row r="17" spans="2:7" ht="16.5" thickBot="1">
      <c r="B17" s="990" t="s">
        <v>22</v>
      </c>
      <c r="C17" s="42"/>
      <c r="D17" s="991">
        <f>+D13-D15</f>
        <v>0.95568696520187901</v>
      </c>
      <c r="E17" s="985"/>
      <c r="F17" s="991">
        <f>+F13-F15</f>
        <v>0.95568696520187901</v>
      </c>
    </row>
    <row r="18" spans="2:7">
      <c r="B18" s="990"/>
      <c r="C18" s="42"/>
      <c r="D18" s="985"/>
      <c r="E18" s="985"/>
      <c r="F18" s="985"/>
    </row>
    <row r="19" spans="2:7" ht="16.5" thickBot="1">
      <c r="B19" s="990" t="s">
        <v>2165</v>
      </c>
      <c r="C19" s="42"/>
      <c r="D19" s="991">
        <f>+D17*0.35</f>
        <v>0.33449043782065763</v>
      </c>
      <c r="E19" s="985"/>
      <c r="F19" s="991">
        <f>+F17*0.21</f>
        <v>0.2006942626923946</v>
      </c>
    </row>
    <row r="20" spans="2:7">
      <c r="B20" s="990"/>
      <c r="C20" s="42"/>
      <c r="D20" s="988"/>
      <c r="E20" s="985"/>
      <c r="F20" s="988"/>
    </row>
    <row r="21" spans="2:7" ht="16.5" thickBot="1">
      <c r="B21" s="990" t="s">
        <v>61</v>
      </c>
      <c r="C21" s="42"/>
      <c r="D21" s="989">
        <f>+D15+D19</f>
        <v>0.33449043782065763</v>
      </c>
      <c r="E21" s="985"/>
      <c r="F21" s="989">
        <f>+F15+F19</f>
        <v>0.2006942626923946</v>
      </c>
    </row>
    <row r="22" spans="2:7">
      <c r="B22" s="990"/>
      <c r="C22" s="42"/>
      <c r="D22" s="985"/>
      <c r="E22" s="985"/>
      <c r="F22" s="985"/>
    </row>
    <row r="23" spans="2:7" ht="16.5" thickBot="1">
      <c r="B23" s="990" t="s">
        <v>23</v>
      </c>
      <c r="C23" s="42"/>
      <c r="D23" s="991">
        <f>SUM(D9:D12)+D21</f>
        <v>0.37880347261877867</v>
      </c>
      <c r="E23" s="985"/>
      <c r="F23" s="991">
        <f>SUM(F9:F12)+F21</f>
        <v>0.24500729749051561</v>
      </c>
    </row>
    <row r="24" spans="2:7">
      <c r="B24" s="990"/>
      <c r="C24" s="42"/>
      <c r="D24" s="985"/>
      <c r="E24" s="985"/>
      <c r="F24" s="985"/>
    </row>
    <row r="25" spans="2:7">
      <c r="B25" s="990"/>
      <c r="C25" s="42"/>
      <c r="D25" s="985"/>
      <c r="E25" s="985"/>
      <c r="F25" s="985"/>
    </row>
    <row r="26" spans="2:7">
      <c r="B26" s="990" t="s">
        <v>68</v>
      </c>
      <c r="C26" s="42"/>
      <c r="D26" s="997">
        <f>+D7-D23</f>
        <v>0.62119652738122133</v>
      </c>
      <c r="E26" s="985"/>
      <c r="F26" s="997">
        <f>+F7-F23</f>
        <v>0.75499270250948436</v>
      </c>
      <c r="G26" s="43"/>
    </row>
    <row r="27" spans="2:7">
      <c r="B27" s="42"/>
      <c r="C27" s="42"/>
      <c r="D27" s="985"/>
      <c r="E27" s="985"/>
    </row>
    <row r="28" spans="2:7">
      <c r="B28" s="42"/>
      <c r="C28" s="42"/>
      <c r="D28" s="985"/>
      <c r="E28" s="985"/>
    </row>
    <row r="29" spans="2:7">
      <c r="B29" s="994" t="s">
        <v>91</v>
      </c>
      <c r="C29" s="44"/>
      <c r="D29" s="995"/>
      <c r="E29" s="995"/>
    </row>
    <row r="30" spans="2:7">
      <c r="B30" s="994" t="s">
        <v>92</v>
      </c>
      <c r="C30" s="44"/>
      <c r="D30" s="995">
        <v>0</v>
      </c>
      <c r="E30" s="995"/>
      <c r="F30" s="995">
        <v>0</v>
      </c>
    </row>
    <row r="31" spans="2:7">
      <c r="B31" s="994" t="s">
        <v>93</v>
      </c>
      <c r="C31" s="44"/>
      <c r="D31" s="995">
        <v>0.35</v>
      </c>
      <c r="E31" s="995"/>
      <c r="F31" s="995">
        <v>0.21</v>
      </c>
    </row>
    <row r="32" spans="2:7">
      <c r="B32" s="44"/>
      <c r="C32" s="44"/>
      <c r="D32" s="999"/>
      <c r="E32" s="996"/>
      <c r="F32" s="999"/>
    </row>
    <row r="33" spans="2:6">
      <c r="B33" s="994" t="s">
        <v>94</v>
      </c>
      <c r="C33" s="44"/>
      <c r="D33" s="1000">
        <f>ROUND(((1-D30)*D31)+D30,5)</f>
        <v>0.35</v>
      </c>
      <c r="E33" s="1000"/>
      <c r="F33" s="1000">
        <f>ROUND(((1-F30)*F31)+F30,5)</f>
        <v>0.21</v>
      </c>
    </row>
  </sheetData>
  <printOptions horizontalCentered="1"/>
  <pageMargins left="0.25" right="0.25" top="0.5" bottom="0.75" header="0" footer="0.3"/>
  <pageSetup scale="75" orientation="portrait" r:id="rId1"/>
  <headerFooter scaleWithDoc="0" alignWithMargins="0">
    <oddFooter>&amp;R&amp;"Times New Roman,Regular"&amp;9 26678.897\4829-5163-7600.v1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8"/>
  <sheetViews>
    <sheetView zoomScaleNormal="100" zoomScaleSheetLayoutView="100" workbookViewId="0"/>
  </sheetViews>
  <sheetFormatPr defaultColWidth="9.140625" defaultRowHeight="15.75"/>
  <cols>
    <col min="1" max="1" width="1.42578125" style="4" customWidth="1"/>
    <col min="2" max="2" width="2.5703125" style="4" customWidth="1"/>
    <col min="3" max="3" width="10.5703125" style="6" bestFit="1" customWidth="1"/>
    <col min="4" max="4" width="43" style="4" bestFit="1" customWidth="1"/>
    <col min="5" max="5" width="4.140625" style="4" customWidth="1"/>
    <col min="6" max="6" width="17.5703125" style="4" bestFit="1" customWidth="1"/>
    <col min="7" max="7" width="6" style="4" customWidth="1"/>
    <col min="8" max="8" width="10.140625" style="4" bestFit="1" customWidth="1"/>
    <col min="9" max="9" width="5.140625" style="4" customWidth="1"/>
    <col min="10" max="10" width="13.7109375" style="4" bestFit="1" customWidth="1"/>
    <col min="11" max="13" width="9.140625" style="4"/>
    <col min="14" max="14" width="13.85546875" style="4" bestFit="1" customWidth="1"/>
    <col min="15" max="16384" width="9.140625" style="4"/>
  </cols>
  <sheetData>
    <row r="1" spans="1:14">
      <c r="A1" s="984" t="s">
        <v>53</v>
      </c>
      <c r="B1" s="369"/>
      <c r="C1" s="3"/>
      <c r="D1" s="3"/>
      <c r="E1" s="3"/>
      <c r="F1" s="3"/>
      <c r="G1" s="3"/>
      <c r="H1" s="3"/>
      <c r="I1" s="3"/>
      <c r="J1" s="3"/>
      <c r="K1" s="370"/>
      <c r="L1" s="371"/>
      <c r="M1" s="370"/>
    </row>
    <row r="2" spans="1:14">
      <c r="A2" s="1001" t="s">
        <v>2297</v>
      </c>
      <c r="B2" s="369"/>
      <c r="C2" s="3"/>
      <c r="D2" s="3"/>
      <c r="E2" s="3"/>
      <c r="F2" s="3"/>
      <c r="G2" s="3"/>
      <c r="H2" s="3"/>
      <c r="I2" s="3"/>
      <c r="J2" s="3"/>
      <c r="K2" s="372"/>
      <c r="L2" s="372"/>
      <c r="M2" s="372"/>
    </row>
    <row r="3" spans="1:14">
      <c r="A3" s="1002" t="s">
        <v>971</v>
      </c>
      <c r="B3" s="369"/>
      <c r="C3" s="3"/>
      <c r="D3" s="3"/>
      <c r="E3" s="3"/>
      <c r="F3" s="3"/>
      <c r="G3" s="3"/>
      <c r="H3" s="3"/>
      <c r="I3" s="3"/>
      <c r="J3" s="3"/>
      <c r="K3" s="372"/>
      <c r="L3" s="372"/>
      <c r="M3" s="372"/>
    </row>
    <row r="4" spans="1:14">
      <c r="B4" s="369"/>
      <c r="C4" s="3"/>
      <c r="D4" s="3"/>
      <c r="E4" s="3"/>
      <c r="F4" s="3"/>
      <c r="G4" s="3"/>
      <c r="H4" s="3"/>
      <c r="I4" s="3"/>
      <c r="J4" s="3"/>
      <c r="K4" s="373"/>
      <c r="L4" s="373"/>
      <c r="M4" s="373"/>
    </row>
    <row r="5" spans="1:14">
      <c r="B5" s="369"/>
      <c r="C5" s="3"/>
      <c r="D5" s="3"/>
      <c r="E5" s="3"/>
      <c r="F5" s="3"/>
      <c r="G5" s="3"/>
      <c r="H5" s="3"/>
      <c r="I5" s="3"/>
      <c r="J5" s="3"/>
      <c r="K5" s="374"/>
      <c r="L5" s="374"/>
      <c r="M5" s="374"/>
    </row>
    <row r="6" spans="1:14">
      <c r="C6" s="21"/>
      <c r="D6" s="20"/>
      <c r="E6" s="1243"/>
      <c r="F6" s="1243"/>
      <c r="G6" s="1243"/>
      <c r="H6" s="1243"/>
      <c r="I6" s="1243"/>
      <c r="J6" s="1243"/>
    </row>
    <row r="7" spans="1:14">
      <c r="B7" s="375"/>
      <c r="C7" s="1184" t="s">
        <v>2161</v>
      </c>
      <c r="D7" s="375"/>
      <c r="E7" s="370"/>
      <c r="F7" s="370"/>
      <c r="G7" s="370"/>
      <c r="H7" s="370"/>
      <c r="I7" s="370"/>
      <c r="J7" s="370"/>
      <c r="K7" s="375"/>
      <c r="L7" s="375"/>
      <c r="M7" s="369"/>
    </row>
    <row r="8" spans="1:14" s="6" customFormat="1">
      <c r="B8" s="376"/>
      <c r="C8" s="376" t="s">
        <v>41</v>
      </c>
      <c r="D8" s="376" t="s">
        <v>1689</v>
      </c>
      <c r="E8" s="376"/>
      <c r="F8" s="376" t="s">
        <v>1687</v>
      </c>
      <c r="G8" s="376"/>
      <c r="H8" s="376" t="s">
        <v>1690</v>
      </c>
      <c r="I8" s="376"/>
      <c r="J8" s="376" t="s">
        <v>1691</v>
      </c>
      <c r="K8" s="376"/>
      <c r="L8" s="378"/>
      <c r="M8" s="377"/>
    </row>
    <row r="9" spans="1:14">
      <c r="B9" s="375"/>
      <c r="C9" s="1185" t="s">
        <v>1686</v>
      </c>
      <c r="D9" s="1186" t="s">
        <v>42</v>
      </c>
      <c r="E9" s="1187"/>
      <c r="F9" s="1187" t="s">
        <v>43</v>
      </c>
      <c r="G9" s="1187"/>
      <c r="H9" s="1188" t="s">
        <v>44</v>
      </c>
      <c r="I9" s="1188"/>
      <c r="J9" s="1189" t="s">
        <v>45</v>
      </c>
      <c r="K9" s="375"/>
      <c r="L9" s="375"/>
      <c r="M9" s="369"/>
    </row>
    <row r="10" spans="1:14">
      <c r="B10" s="375"/>
      <c r="C10" s="1190"/>
      <c r="D10" s="370"/>
      <c r="E10" s="370"/>
      <c r="F10" s="370"/>
      <c r="G10" s="370"/>
      <c r="H10" s="370"/>
      <c r="I10" s="370"/>
      <c r="J10" s="1191" t="s">
        <v>44</v>
      </c>
      <c r="K10" s="375"/>
      <c r="L10" s="375"/>
      <c r="M10" s="369"/>
    </row>
    <row r="11" spans="1:14">
      <c r="C11" s="1190">
        <v>1</v>
      </c>
      <c r="D11" s="1192" t="s">
        <v>46</v>
      </c>
      <c r="E11" s="370"/>
      <c r="F11" s="1193">
        <f>+'1) Lead Sheet'!AI13</f>
        <v>0.5</v>
      </c>
      <c r="G11" s="1194"/>
      <c r="H11" s="1194">
        <f>+'1) Lead Sheet'!AJ13</f>
        <v>5.2949999999999997E-2</v>
      </c>
      <c r="I11" s="1195"/>
      <c r="J11" s="1196">
        <f>ROUND(+F11*H11,5)</f>
        <v>2.648E-2</v>
      </c>
      <c r="K11" s="375"/>
      <c r="L11" s="379"/>
      <c r="M11" s="369"/>
      <c r="N11" s="380"/>
    </row>
    <row r="12" spans="1:14">
      <c r="C12" s="1190">
        <v>2</v>
      </c>
      <c r="D12" s="1192" t="s">
        <v>47</v>
      </c>
      <c r="E12" s="370"/>
      <c r="F12" s="1193">
        <v>0</v>
      </c>
      <c r="G12" s="1194"/>
      <c r="H12" s="1194">
        <v>0</v>
      </c>
      <c r="I12" s="1195"/>
      <c r="J12" s="1196">
        <f>ROUND(+F12*H12,5)</f>
        <v>0</v>
      </c>
      <c r="K12" s="375"/>
      <c r="L12" s="379"/>
      <c r="M12" s="369"/>
    </row>
    <row r="13" spans="1:14">
      <c r="C13" s="1190">
        <v>3</v>
      </c>
      <c r="D13" s="1192" t="s">
        <v>48</v>
      </c>
      <c r="E13" s="370"/>
      <c r="F13" s="1193">
        <f>+'1) Lead Sheet'!AI14</f>
        <v>0.5</v>
      </c>
      <c r="G13" s="1194"/>
      <c r="H13" s="1194">
        <f>+'1) Lead Sheet'!AJ14</f>
        <v>9.4E-2</v>
      </c>
      <c r="I13" s="1195"/>
      <c r="J13" s="1196">
        <f>ROUND(+F13*H13,5)</f>
        <v>4.7E-2</v>
      </c>
      <c r="K13" s="375"/>
      <c r="L13" s="379"/>
      <c r="M13" s="369"/>
    </row>
    <row r="14" spans="1:14" ht="16.5" thickBot="1">
      <c r="B14" s="375"/>
      <c r="C14" s="1190">
        <v>4</v>
      </c>
      <c r="D14" s="1192" t="s">
        <v>49</v>
      </c>
      <c r="E14" s="370"/>
      <c r="F14" s="1197">
        <f>SUM(F11:F13)</f>
        <v>1</v>
      </c>
      <c r="G14" s="1194"/>
      <c r="H14" s="1194"/>
      <c r="I14" s="1195"/>
      <c r="J14" s="1198">
        <f>SUM(J11:J13)</f>
        <v>7.3480000000000004E-2</v>
      </c>
      <c r="K14" s="375"/>
      <c r="L14" s="375"/>
      <c r="M14" s="369"/>
    </row>
    <row r="15" spans="1:14" ht="16.5" thickTop="1">
      <c r="B15" s="375"/>
      <c r="C15" s="1199"/>
      <c r="D15" s="1200"/>
      <c r="E15" s="1200"/>
      <c r="F15" s="1200"/>
      <c r="G15" s="1200"/>
      <c r="H15" s="1200"/>
      <c r="I15" s="1200"/>
      <c r="J15" s="1201"/>
      <c r="K15" s="375"/>
      <c r="L15" s="375"/>
      <c r="M15" s="369"/>
    </row>
    <row r="16" spans="1:14">
      <c r="B16" s="375"/>
      <c r="C16" s="376"/>
      <c r="D16" s="375"/>
      <c r="E16" s="375"/>
      <c r="F16" s="375"/>
      <c r="G16" s="375"/>
      <c r="H16" s="375"/>
      <c r="I16" s="375"/>
      <c r="J16" s="375"/>
      <c r="K16" s="375"/>
      <c r="L16" s="375"/>
      <c r="M16" s="369"/>
    </row>
    <row r="17" spans="2:14">
      <c r="B17" s="369"/>
      <c r="C17" s="376"/>
      <c r="D17" s="375"/>
      <c r="E17" s="375"/>
      <c r="F17" s="375"/>
      <c r="G17" s="375"/>
      <c r="H17" s="375"/>
      <c r="I17" s="375"/>
      <c r="J17" s="375"/>
      <c r="K17" s="369"/>
      <c r="L17" s="369"/>
    </row>
    <row r="18" spans="2:14">
      <c r="C18" s="1202" t="s">
        <v>2298</v>
      </c>
      <c r="D18" s="20"/>
      <c r="E18" s="20"/>
      <c r="F18" s="20"/>
      <c r="G18" s="20"/>
      <c r="H18" s="20"/>
      <c r="I18" s="20"/>
      <c r="J18" s="20"/>
    </row>
    <row r="19" spans="2:14">
      <c r="C19" s="21"/>
      <c r="D19" s="20"/>
      <c r="E19" s="20"/>
      <c r="F19" s="20"/>
      <c r="G19" s="20"/>
      <c r="H19" s="20"/>
      <c r="I19" s="20"/>
      <c r="J19" s="20"/>
    </row>
    <row r="20" spans="2:14">
      <c r="B20" s="375"/>
      <c r="C20" s="1185" t="s">
        <v>1686</v>
      </c>
      <c r="D20" s="1186" t="s">
        <v>42</v>
      </c>
      <c r="E20" s="1187"/>
      <c r="F20" s="1187" t="s">
        <v>43</v>
      </c>
      <c r="G20" s="1187"/>
      <c r="H20" s="1188" t="s">
        <v>44</v>
      </c>
      <c r="I20" s="1188"/>
      <c r="J20" s="1189" t="s">
        <v>45</v>
      </c>
      <c r="K20" s="375"/>
      <c r="L20" s="375"/>
      <c r="M20" s="369"/>
    </row>
    <row r="21" spans="2:14">
      <c r="B21" s="375"/>
      <c r="C21" s="1190"/>
      <c r="D21" s="370"/>
      <c r="E21" s="370"/>
      <c r="F21" s="370"/>
      <c r="G21" s="370"/>
      <c r="H21" s="370"/>
      <c r="I21" s="370"/>
      <c r="J21" s="1191" t="s">
        <v>44</v>
      </c>
      <c r="K21" s="375"/>
      <c r="L21" s="375"/>
      <c r="M21" s="369"/>
    </row>
    <row r="22" spans="2:14">
      <c r="C22" s="1190">
        <v>1</v>
      </c>
      <c r="D22" s="1192" t="s">
        <v>46</v>
      </c>
      <c r="E22" s="370"/>
      <c r="F22" s="1193">
        <v>0.5</v>
      </c>
      <c r="G22" s="1194"/>
      <c r="H22" s="1194">
        <v>5.2949999999999997E-2</v>
      </c>
      <c r="I22" s="1195"/>
      <c r="J22" s="1196">
        <f>ROUND(+F22*H22,5)</f>
        <v>2.648E-2</v>
      </c>
      <c r="K22" s="375"/>
      <c r="L22" s="379"/>
      <c r="M22" s="369"/>
      <c r="N22" s="380"/>
    </row>
    <row r="23" spans="2:14">
      <c r="C23" s="1190">
        <v>2</v>
      </c>
      <c r="D23" s="1192" t="s">
        <v>47</v>
      </c>
      <c r="E23" s="370"/>
      <c r="F23" s="1193">
        <v>0</v>
      </c>
      <c r="G23" s="1194"/>
      <c r="H23" s="1194">
        <v>0</v>
      </c>
      <c r="I23" s="1195"/>
      <c r="J23" s="1196">
        <f>ROUND(+F23*H23,5)</f>
        <v>0</v>
      </c>
      <c r="K23" s="375"/>
      <c r="L23" s="379"/>
      <c r="M23" s="369"/>
    </row>
    <row r="24" spans="2:14">
      <c r="C24" s="1190">
        <v>3</v>
      </c>
      <c r="D24" s="1192" t="s">
        <v>48</v>
      </c>
      <c r="E24" s="370"/>
      <c r="F24" s="1193">
        <v>0.5</v>
      </c>
      <c r="G24" s="1194"/>
      <c r="H24" s="1194">
        <v>9.9000000000000005E-2</v>
      </c>
      <c r="I24" s="1195"/>
      <c r="J24" s="1196">
        <f>ROUND(+F24*H24,5)</f>
        <v>4.9500000000000002E-2</v>
      </c>
      <c r="K24" s="375"/>
      <c r="L24" s="379"/>
      <c r="M24" s="369"/>
    </row>
    <row r="25" spans="2:14" ht="16.5" thickBot="1">
      <c r="B25" s="375"/>
      <c r="C25" s="1190">
        <v>4</v>
      </c>
      <c r="D25" s="1192" t="s">
        <v>49</v>
      </c>
      <c r="E25" s="370"/>
      <c r="F25" s="1197">
        <f>SUM(F22:F24)</f>
        <v>1</v>
      </c>
      <c r="G25" s="1194"/>
      <c r="H25" s="1194"/>
      <c r="I25" s="1195"/>
      <c r="J25" s="1198">
        <f>SUM(J22:J24)</f>
        <v>7.5980000000000006E-2</v>
      </c>
      <c r="K25" s="375"/>
      <c r="L25" s="375"/>
      <c r="M25" s="369"/>
    </row>
    <row r="26" spans="2:14" ht="16.5" thickTop="1">
      <c r="B26" s="375"/>
      <c r="C26" s="1199"/>
      <c r="D26" s="1200"/>
      <c r="E26" s="1200"/>
      <c r="F26" s="1200"/>
      <c r="G26" s="1200"/>
      <c r="H26" s="1200"/>
      <c r="I26" s="1200"/>
      <c r="J26" s="1201"/>
      <c r="K26" s="375"/>
      <c r="L26" s="375"/>
      <c r="M26" s="369"/>
    </row>
    <row r="27" spans="2:14">
      <c r="B27" s="375"/>
      <c r="C27" s="376"/>
      <c r="D27" s="375"/>
      <c r="E27" s="375"/>
      <c r="F27" s="375"/>
      <c r="G27" s="375"/>
      <c r="H27" s="375"/>
      <c r="I27" s="375"/>
      <c r="J27" s="375"/>
      <c r="K27" s="375"/>
      <c r="L27" s="375"/>
      <c r="M27" s="369"/>
    </row>
    <row r="28" spans="2:14">
      <c r="B28" s="369"/>
      <c r="C28" s="376"/>
      <c r="D28" s="375"/>
      <c r="E28" s="375"/>
      <c r="F28" s="375"/>
      <c r="G28" s="375"/>
      <c r="H28" s="375"/>
      <c r="I28" s="375"/>
      <c r="J28" s="375"/>
      <c r="K28" s="369"/>
      <c r="L28" s="369"/>
    </row>
  </sheetData>
  <mergeCells count="1">
    <mergeCell ref="E6:J6"/>
  </mergeCells>
  <printOptions horizontalCentered="1"/>
  <pageMargins left="0.25" right="0.25" top="0.5" bottom="0.75" header="0" footer="0.3"/>
  <pageSetup scale="75" orientation="portrait" r:id="rId1"/>
  <headerFooter scaleWithDoc="0" alignWithMargins="0">
    <oddFooter>&amp;R&amp;"Times New Roman,Regular"&amp;9 26678.897\4829-5163-7600.v1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K64"/>
  <sheetViews>
    <sheetView tabSelected="1" zoomScale="55" zoomScaleNormal="55" zoomScaleSheetLayoutView="55" workbookViewId="0">
      <selection activeCell="L20" sqref="L20"/>
    </sheetView>
  </sheetViews>
  <sheetFormatPr defaultColWidth="9.140625" defaultRowHeight="15.75"/>
  <cols>
    <col min="1" max="1" width="4.7109375" style="4" customWidth="1"/>
    <col min="2" max="2" width="40.5703125" style="4" customWidth="1"/>
    <col min="3" max="3" width="4.7109375" style="4" customWidth="1"/>
    <col min="4" max="8" width="19.7109375" style="4" customWidth="1"/>
    <col min="9" max="9" width="4.7109375" style="4" customWidth="1"/>
    <col min="10" max="10" width="19.7109375" style="4" customWidth="1"/>
    <col min="11" max="11" width="19.7109375" style="48" customWidth="1"/>
    <col min="12" max="21" width="19.7109375" style="4" customWidth="1"/>
    <col min="22" max="22" width="4.7109375" style="4" customWidth="1"/>
    <col min="23" max="26" width="19.7109375" style="4" customWidth="1"/>
    <col min="27" max="27" width="18.7109375" style="4" hidden="1" customWidth="1"/>
    <col min="28" max="28" width="4.7109375" style="4" customWidth="1"/>
    <col min="29" max="29" width="19.7109375" style="4" customWidth="1"/>
    <col min="30" max="30" width="4.7109375" style="4" customWidth="1"/>
    <col min="31" max="16384" width="9.140625" style="4"/>
  </cols>
  <sheetData>
    <row r="1" spans="1:30">
      <c r="A1" s="984" t="s">
        <v>53</v>
      </c>
      <c r="B1" s="39"/>
      <c r="C1" s="39"/>
      <c r="D1" s="39"/>
      <c r="E1" s="39"/>
      <c r="F1" s="39"/>
      <c r="G1" s="39"/>
      <c r="H1" s="39"/>
      <c r="I1" s="39"/>
      <c r="J1" s="39"/>
      <c r="K1" s="47"/>
      <c r="L1" s="39"/>
      <c r="M1" s="39"/>
      <c r="N1" s="39"/>
      <c r="O1" s="39"/>
      <c r="P1" s="39"/>
      <c r="Q1" s="39"/>
      <c r="R1" s="39"/>
      <c r="S1" s="39"/>
      <c r="T1" s="39"/>
      <c r="U1" s="39"/>
      <c r="V1" s="39"/>
      <c r="W1" s="39"/>
      <c r="X1" s="39"/>
      <c r="Y1" s="39"/>
      <c r="Z1" s="39"/>
      <c r="AA1" s="39"/>
      <c r="AB1" s="39"/>
      <c r="AC1" s="39"/>
    </row>
    <row r="2" spans="1:30">
      <c r="A2" s="1001" t="s">
        <v>2290</v>
      </c>
      <c r="B2" s="39"/>
      <c r="C2" s="39"/>
      <c r="D2" s="39"/>
      <c r="E2" s="39"/>
      <c r="F2" s="39"/>
      <c r="G2" s="39"/>
      <c r="H2" s="39"/>
      <c r="I2" s="39"/>
      <c r="J2" s="39"/>
      <c r="K2" s="47"/>
      <c r="L2" s="39"/>
      <c r="M2" s="39"/>
      <c r="N2" s="39"/>
      <c r="O2" s="39"/>
      <c r="P2" s="39"/>
      <c r="Q2" s="39"/>
      <c r="R2" s="39"/>
      <c r="S2" s="39"/>
      <c r="T2" s="39"/>
      <c r="U2" s="39"/>
      <c r="V2" s="39"/>
      <c r="W2" s="39"/>
      <c r="X2" s="39"/>
      <c r="Y2" s="39"/>
      <c r="Z2" s="39"/>
      <c r="AA2" s="39"/>
      <c r="AB2" s="39"/>
      <c r="AC2" s="39"/>
    </row>
    <row r="3" spans="1:30">
      <c r="A3" s="1002" t="s">
        <v>971</v>
      </c>
      <c r="B3" s="39"/>
      <c r="C3" s="39"/>
      <c r="D3" s="39"/>
      <c r="E3" s="39"/>
      <c r="F3" s="39"/>
      <c r="G3" s="39"/>
      <c r="H3" s="39"/>
      <c r="I3" s="39"/>
      <c r="J3" s="39"/>
      <c r="K3" s="47"/>
      <c r="L3" s="39"/>
      <c r="M3" s="39"/>
      <c r="N3" s="39"/>
      <c r="O3" s="39"/>
      <c r="P3" s="39"/>
      <c r="Q3" s="39"/>
      <c r="R3" s="39"/>
      <c r="S3" s="39"/>
      <c r="T3" s="39"/>
      <c r="U3" s="39"/>
      <c r="V3" s="39"/>
      <c r="W3" s="39"/>
      <c r="X3" s="39"/>
      <c r="Y3" s="39"/>
      <c r="Z3" s="39"/>
      <c r="AA3" s="39"/>
      <c r="AB3" s="39"/>
      <c r="AC3" s="39"/>
      <c r="AD3" s="3"/>
    </row>
    <row r="4" spans="1:30">
      <c r="B4" s="39"/>
      <c r="C4" s="39"/>
      <c r="D4" s="39"/>
      <c r="E4" s="39"/>
      <c r="F4" s="39"/>
      <c r="G4" s="39"/>
      <c r="H4" s="39"/>
      <c r="I4" s="39"/>
      <c r="J4" s="39"/>
      <c r="K4" s="47"/>
      <c r="L4" s="39"/>
      <c r="M4" s="39"/>
      <c r="N4" s="39"/>
      <c r="O4" s="39"/>
      <c r="P4" s="39"/>
      <c r="Q4" s="39"/>
      <c r="R4" s="39"/>
      <c r="S4" s="39"/>
      <c r="T4" s="39"/>
      <c r="U4" s="39"/>
      <c r="V4" s="39"/>
      <c r="W4" s="39"/>
      <c r="X4" s="39"/>
      <c r="Y4" s="39"/>
      <c r="Z4" s="39"/>
      <c r="AA4" s="39"/>
      <c r="AB4" s="39"/>
      <c r="AC4" s="39"/>
      <c r="AD4" s="3"/>
    </row>
    <row r="5" spans="1:30" ht="16.5" thickBot="1">
      <c r="B5" s="39"/>
      <c r="C5" s="39"/>
      <c r="D5" s="1094" t="s">
        <v>2193</v>
      </c>
      <c r="E5" s="39"/>
      <c r="F5" s="1094" t="s">
        <v>2193</v>
      </c>
      <c r="G5" s="39"/>
      <c r="H5" s="1094" t="s">
        <v>2193</v>
      </c>
      <c r="I5" s="39"/>
      <c r="J5" s="39"/>
      <c r="K5" s="1094" t="s">
        <v>2193</v>
      </c>
      <c r="L5" s="1094" t="s">
        <v>2193</v>
      </c>
      <c r="M5" s="1094" t="s">
        <v>2193</v>
      </c>
      <c r="N5" s="67"/>
      <c r="O5" s="1094" t="s">
        <v>2193</v>
      </c>
      <c r="P5" s="67"/>
      <c r="Q5" s="67"/>
      <c r="R5" s="1094" t="s">
        <v>2193</v>
      </c>
      <c r="S5" s="1094" t="s">
        <v>2164</v>
      </c>
      <c r="T5" s="1094" t="s">
        <v>2164</v>
      </c>
      <c r="U5" s="1094" t="s">
        <v>2164</v>
      </c>
      <c r="V5" s="67"/>
      <c r="W5" s="1094" t="s">
        <v>2164</v>
      </c>
      <c r="X5" s="1094" t="s">
        <v>2164</v>
      </c>
      <c r="Y5" s="1094" t="s">
        <v>2164</v>
      </c>
      <c r="Z5" s="1094" t="s">
        <v>2164</v>
      </c>
      <c r="AA5" s="39"/>
      <c r="AB5" s="39"/>
      <c r="AC5" s="39"/>
    </row>
    <row r="6" spans="1:30">
      <c r="A6" s="6"/>
      <c r="B6" s="39"/>
      <c r="C6" s="39"/>
      <c r="D6" s="1071" t="s">
        <v>877</v>
      </c>
      <c r="E6" s="1081" t="s">
        <v>54</v>
      </c>
      <c r="F6" s="1073" t="s">
        <v>960</v>
      </c>
      <c r="G6" s="1073" t="s">
        <v>1109</v>
      </c>
      <c r="H6" s="1082" t="s">
        <v>2315</v>
      </c>
      <c r="I6" s="39"/>
      <c r="J6" s="1071" t="s">
        <v>56</v>
      </c>
      <c r="K6" s="1072" t="s">
        <v>917</v>
      </c>
      <c r="L6" s="1073" t="s">
        <v>917</v>
      </c>
      <c r="M6" s="1037" t="s">
        <v>59</v>
      </c>
      <c r="N6" s="1037" t="s">
        <v>917</v>
      </c>
      <c r="O6" s="1097" t="s">
        <v>1008</v>
      </c>
      <c r="P6" s="1037" t="s">
        <v>1104</v>
      </c>
      <c r="Q6" s="1037" t="s">
        <v>1133</v>
      </c>
      <c r="R6" s="1037" t="s">
        <v>917</v>
      </c>
      <c r="S6" s="1037" t="s">
        <v>2202</v>
      </c>
      <c r="T6" s="1037" t="s">
        <v>2197</v>
      </c>
      <c r="U6" s="1038" t="s">
        <v>2199</v>
      </c>
      <c r="V6" s="39"/>
      <c r="W6" s="1036" t="s">
        <v>960</v>
      </c>
      <c r="X6" s="1037" t="s">
        <v>2155</v>
      </c>
      <c r="Y6" s="1037" t="s">
        <v>2195</v>
      </c>
      <c r="Z6" s="1038" t="s">
        <v>2158</v>
      </c>
      <c r="AA6" s="1022"/>
      <c r="AB6" s="39"/>
      <c r="AC6" s="1095" t="s">
        <v>52</v>
      </c>
    </row>
    <row r="7" spans="1:30">
      <c r="A7" s="6"/>
      <c r="B7" s="39"/>
      <c r="C7" s="39"/>
      <c r="D7" s="1074" t="s">
        <v>878</v>
      </c>
      <c r="E7" s="51" t="s">
        <v>51</v>
      </c>
      <c r="F7" s="52" t="s">
        <v>956</v>
      </c>
      <c r="G7" s="52" t="s">
        <v>1110</v>
      </c>
      <c r="H7" s="1083" t="s">
        <v>103</v>
      </c>
      <c r="I7" s="39"/>
      <c r="J7" s="1074" t="s">
        <v>57</v>
      </c>
      <c r="K7" s="53" t="s">
        <v>921</v>
      </c>
      <c r="L7" s="52" t="s">
        <v>961</v>
      </c>
      <c r="M7" s="54" t="s">
        <v>60</v>
      </c>
      <c r="N7" s="54" t="s">
        <v>1131</v>
      </c>
      <c r="O7" s="1098" t="s">
        <v>1009</v>
      </c>
      <c r="P7" s="54" t="s">
        <v>1105</v>
      </c>
      <c r="Q7" s="54" t="s">
        <v>55</v>
      </c>
      <c r="R7" s="54" t="s">
        <v>956</v>
      </c>
      <c r="S7" s="54" t="s">
        <v>1583</v>
      </c>
      <c r="T7" s="54" t="s">
        <v>2198</v>
      </c>
      <c r="U7" s="1040" t="s">
        <v>2200</v>
      </c>
      <c r="V7" s="39"/>
      <c r="W7" s="1039" t="s">
        <v>2115</v>
      </c>
      <c r="X7" s="54" t="s">
        <v>2156</v>
      </c>
      <c r="Y7" s="54" t="s">
        <v>2158</v>
      </c>
      <c r="Z7" s="1040" t="s">
        <v>2159</v>
      </c>
      <c r="AA7" s="872"/>
      <c r="AB7" s="39"/>
      <c r="AC7" s="1096" t="s">
        <v>1</v>
      </c>
    </row>
    <row r="8" spans="1:30">
      <c r="A8" s="6"/>
      <c r="B8" s="39"/>
      <c r="C8" s="39"/>
      <c r="D8" s="1074" t="s">
        <v>55</v>
      </c>
      <c r="E8" s="51" t="s">
        <v>55</v>
      </c>
      <c r="F8" s="52" t="s">
        <v>55</v>
      </c>
      <c r="G8" s="52" t="s">
        <v>1111</v>
      </c>
      <c r="H8" s="1083"/>
      <c r="I8" s="39"/>
      <c r="J8" s="1074" t="s">
        <v>55</v>
      </c>
      <c r="K8" s="53" t="s">
        <v>55</v>
      </c>
      <c r="L8" s="52" t="s">
        <v>58</v>
      </c>
      <c r="M8" s="54"/>
      <c r="N8" s="54" t="s">
        <v>1132</v>
      </c>
      <c r="O8" s="1098" t="s">
        <v>1010</v>
      </c>
      <c r="P8" s="54" t="s">
        <v>1106</v>
      </c>
      <c r="Q8" s="54"/>
      <c r="R8" s="54"/>
      <c r="S8" s="54"/>
      <c r="T8" s="54"/>
      <c r="U8" s="1040"/>
      <c r="V8" s="39"/>
      <c r="W8" s="1039" t="s">
        <v>1583</v>
      </c>
      <c r="X8" s="54" t="s">
        <v>2157</v>
      </c>
      <c r="Y8" s="54" t="s">
        <v>1009</v>
      </c>
      <c r="Z8" s="1040" t="s">
        <v>2160</v>
      </c>
      <c r="AA8" s="872"/>
      <c r="AB8" s="39"/>
      <c r="AC8" s="1006"/>
    </row>
    <row r="9" spans="1:30">
      <c r="A9" s="6"/>
      <c r="B9" s="39"/>
      <c r="C9" s="39"/>
      <c r="D9" s="1074" t="s">
        <v>909</v>
      </c>
      <c r="E9" s="872" t="s">
        <v>910</v>
      </c>
      <c r="F9" s="52" t="s">
        <v>959</v>
      </c>
      <c r="G9" s="52" t="s">
        <v>1130</v>
      </c>
      <c r="H9" s="1040" t="s">
        <v>2317</v>
      </c>
      <c r="I9" s="39"/>
      <c r="J9" s="1039" t="s">
        <v>911</v>
      </c>
      <c r="K9" s="55" t="s">
        <v>912</v>
      </c>
      <c r="L9" s="52" t="s">
        <v>1134</v>
      </c>
      <c r="M9" s="54" t="s">
        <v>913</v>
      </c>
      <c r="N9" s="54" t="s">
        <v>914</v>
      </c>
      <c r="O9" s="1098" t="s">
        <v>915</v>
      </c>
      <c r="P9" s="54" t="s">
        <v>916</v>
      </c>
      <c r="Q9" s="54" t="s">
        <v>1135</v>
      </c>
      <c r="R9" s="54" t="s">
        <v>1136</v>
      </c>
      <c r="S9" s="54" t="s">
        <v>2316</v>
      </c>
      <c r="T9" s="54" t="s">
        <v>2318</v>
      </c>
      <c r="U9" s="1040" t="s">
        <v>2319</v>
      </c>
      <c r="V9" s="39"/>
      <c r="W9" s="1039" t="s">
        <v>2114</v>
      </c>
      <c r="X9" s="54" t="s">
        <v>2152</v>
      </c>
      <c r="Y9" s="54" t="s">
        <v>2153</v>
      </c>
      <c r="Z9" s="1040" t="s">
        <v>2154</v>
      </c>
      <c r="AA9" s="872"/>
      <c r="AB9" s="39"/>
      <c r="AC9" s="1006"/>
    </row>
    <row r="10" spans="1:30">
      <c r="A10" s="6"/>
      <c r="B10" s="39"/>
      <c r="C10" s="39"/>
      <c r="D10" s="1084"/>
      <c r="E10" s="873"/>
      <c r="F10" s="874"/>
      <c r="G10" s="874"/>
      <c r="H10" s="1042"/>
      <c r="I10" s="39"/>
      <c r="J10" s="1041"/>
      <c r="K10" s="1075"/>
      <c r="L10" s="874"/>
      <c r="M10" s="869"/>
      <c r="N10" s="869"/>
      <c r="O10" s="1099"/>
      <c r="P10" s="869"/>
      <c r="Q10" s="869"/>
      <c r="R10" s="869"/>
      <c r="S10" s="869"/>
      <c r="T10" s="869"/>
      <c r="U10" s="1042"/>
      <c r="V10" s="39"/>
      <c r="W10" s="1041"/>
      <c r="X10" s="869"/>
      <c r="Y10" s="869"/>
      <c r="Z10" s="1042"/>
      <c r="AA10" s="873"/>
      <c r="AB10" s="39"/>
      <c r="AC10" s="1007"/>
    </row>
    <row r="11" spans="1:30">
      <c r="A11" s="1113">
        <f ca="1">+MAX(OFFSET(A1,0,0,ROW($A11)-ROW(A1),1))+1</f>
        <v>1</v>
      </c>
      <c r="B11" s="29" t="s">
        <v>7</v>
      </c>
      <c r="C11" s="49"/>
      <c r="D11" s="1076"/>
      <c r="E11" s="1043"/>
      <c r="F11" s="58"/>
      <c r="G11" s="58"/>
      <c r="H11" s="1044"/>
      <c r="I11" s="39"/>
      <c r="J11" s="1076"/>
      <c r="K11" s="1077"/>
      <c r="L11" s="1043"/>
      <c r="M11" s="1043"/>
      <c r="N11" s="1043"/>
      <c r="O11" s="56"/>
      <c r="P11" s="1043"/>
      <c r="Q11" s="59"/>
      <c r="R11" s="59"/>
      <c r="S11" s="59"/>
      <c r="T11" s="59"/>
      <c r="U11" s="1044"/>
      <c r="V11" s="39"/>
      <c r="W11" s="57"/>
      <c r="X11" s="59"/>
      <c r="Y11" s="1043"/>
      <c r="Z11" s="1044"/>
      <c r="AA11" s="59"/>
      <c r="AB11" s="39"/>
      <c r="AC11" s="1008"/>
    </row>
    <row r="12" spans="1:30">
      <c r="A12" s="1113">
        <f t="shared" ref="A12:A15" ca="1" si="0">+MAX(OFFSET(A2,0,0,ROW($A12)-ROW(A2),1))+1</f>
        <v>2</v>
      </c>
      <c r="B12" s="30" t="s">
        <v>24</v>
      </c>
      <c r="C12" s="40"/>
      <c r="D12" s="1224">
        <f>+'Liu Weather Normalization'!$F$21</f>
        <v>12463455.49</v>
      </c>
      <c r="E12" s="60"/>
      <c r="F12" s="61">
        <f>'Liu Restate Rev WP'!$M$28</f>
        <v>-5477134.5345370322</v>
      </c>
      <c r="G12" s="61"/>
      <c r="H12" s="1046"/>
      <c r="I12" s="39"/>
      <c r="J12" s="1045"/>
      <c r="K12" s="62"/>
      <c r="L12" s="60"/>
      <c r="M12" s="60">
        <v>0</v>
      </c>
      <c r="N12" s="60"/>
      <c r="O12" s="1100"/>
      <c r="P12" s="60">
        <v>0</v>
      </c>
      <c r="Q12" s="60"/>
      <c r="R12" s="60">
        <f>'[8]Liu Rev Adj WP'!$G$21+'[8]Liu Rev Adj WP'!$G$22</f>
        <v>5181807.734831797</v>
      </c>
      <c r="S12" s="60">
        <v>0</v>
      </c>
      <c r="T12" s="60">
        <v>0</v>
      </c>
      <c r="U12" s="1046">
        <v>0</v>
      </c>
      <c r="V12" s="39"/>
      <c r="W12" s="1045">
        <v>0</v>
      </c>
      <c r="X12" s="60">
        <v>0</v>
      </c>
      <c r="Y12" s="60">
        <v>0</v>
      </c>
      <c r="Z12" s="1046"/>
      <c r="AA12" s="1023">
        <v>0</v>
      </c>
      <c r="AB12" s="39"/>
      <c r="AC12" s="1009">
        <f>SUM(D12:AB12)</f>
        <v>12168128.690294765</v>
      </c>
    </row>
    <row r="13" spans="1:30">
      <c r="A13" s="1113">
        <f t="shared" ca="1" si="0"/>
        <v>3</v>
      </c>
      <c r="B13" s="30" t="s">
        <v>25</v>
      </c>
      <c r="C13" s="40"/>
      <c r="D13" s="1047"/>
      <c r="E13" s="63"/>
      <c r="F13" s="63">
        <f>+'Restate Revenues'!M29</f>
        <v>-346008.79999999795</v>
      </c>
      <c r="G13" s="63"/>
      <c r="H13" s="1048"/>
      <c r="I13" s="39"/>
      <c r="J13" s="1047"/>
      <c r="K13" s="63"/>
      <c r="L13" s="63">
        <v>199943.9</v>
      </c>
      <c r="M13" s="63">
        <v>0</v>
      </c>
      <c r="N13" s="63"/>
      <c r="O13" s="1101"/>
      <c r="P13" s="63">
        <v>0</v>
      </c>
      <c r="Q13" s="63"/>
      <c r="R13" s="63">
        <f>+'Revenue Adjustment'!G23</f>
        <v>1933517</v>
      </c>
      <c r="S13" s="63">
        <v>0</v>
      </c>
      <c r="T13" s="63">
        <v>0</v>
      </c>
      <c r="U13" s="1048">
        <v>0</v>
      </c>
      <c r="V13" s="39"/>
      <c r="W13" s="1047">
        <v>0</v>
      </c>
      <c r="X13" s="63">
        <v>0</v>
      </c>
      <c r="Y13" s="63">
        <v>0</v>
      </c>
      <c r="Z13" s="1048"/>
      <c r="AA13" s="1024">
        <v>0</v>
      </c>
      <c r="AB13" s="39"/>
      <c r="AC13" s="1010">
        <f>SUM(D13:AB13)</f>
        <v>1787452.100000002</v>
      </c>
    </row>
    <row r="14" spans="1:30">
      <c r="A14" s="1113">
        <f t="shared" ca="1" si="0"/>
        <v>4</v>
      </c>
      <c r="B14" s="30" t="s">
        <v>26</v>
      </c>
      <c r="C14" s="40"/>
      <c r="D14" s="1047"/>
      <c r="E14" s="63"/>
      <c r="F14" s="65"/>
      <c r="G14" s="65"/>
      <c r="H14" s="1048"/>
      <c r="I14" s="39"/>
      <c r="J14" s="1047"/>
      <c r="K14" s="63"/>
      <c r="L14" s="63"/>
      <c r="M14" s="63">
        <v>0</v>
      </c>
      <c r="N14" s="63"/>
      <c r="O14" s="1101"/>
      <c r="P14" s="63">
        <f>+'Miscellaneous Charges'!M16</f>
        <v>-101645</v>
      </c>
      <c r="Q14" s="63"/>
      <c r="R14" s="63">
        <v>189011</v>
      </c>
      <c r="S14" s="63">
        <v>0</v>
      </c>
      <c r="T14" s="63">
        <v>0</v>
      </c>
      <c r="U14" s="1048">
        <v>0</v>
      </c>
      <c r="V14" s="39"/>
      <c r="W14" s="1047">
        <v>0</v>
      </c>
      <c r="X14" s="63">
        <v>0</v>
      </c>
      <c r="Y14" s="63">
        <v>0</v>
      </c>
      <c r="Z14" s="1048"/>
      <c r="AA14" s="1024">
        <v>0</v>
      </c>
      <c r="AB14" s="39"/>
      <c r="AC14" s="1010">
        <f>SUM(D14:AB14)</f>
        <v>87366</v>
      </c>
    </row>
    <row r="15" spans="1:30" ht="16.5" thickBot="1">
      <c r="A15" s="1113">
        <f t="shared" ca="1" si="0"/>
        <v>5</v>
      </c>
      <c r="B15" s="1092" t="s">
        <v>2289</v>
      </c>
      <c r="C15" s="66"/>
      <c r="D15" s="1049">
        <f t="shared" ref="D15:AA15" si="1">+D12+D13+D14</f>
        <v>12463455.49</v>
      </c>
      <c r="E15" s="68">
        <f t="shared" si="1"/>
        <v>0</v>
      </c>
      <c r="F15" s="69">
        <f>+F12+F13+F14</f>
        <v>-5823143.3345370302</v>
      </c>
      <c r="G15" s="69"/>
      <c r="H15" s="1085"/>
      <c r="I15" s="39"/>
      <c r="J15" s="1049">
        <f t="shared" si="1"/>
        <v>0</v>
      </c>
      <c r="K15" s="68">
        <f t="shared" si="1"/>
        <v>0</v>
      </c>
      <c r="L15" s="68">
        <f t="shared" si="1"/>
        <v>199943.9</v>
      </c>
      <c r="M15" s="68">
        <f t="shared" si="1"/>
        <v>0</v>
      </c>
      <c r="N15" s="68"/>
      <c r="O15" s="1102"/>
      <c r="P15" s="68">
        <f t="shared" si="1"/>
        <v>-101645</v>
      </c>
      <c r="Q15" s="68"/>
      <c r="R15" s="68">
        <f t="shared" si="1"/>
        <v>7304335.734831797</v>
      </c>
      <c r="S15" s="68">
        <f t="shared" si="1"/>
        <v>0</v>
      </c>
      <c r="T15" s="68">
        <f t="shared" ref="T15:U15" si="2">+T12+T13+T14</f>
        <v>0</v>
      </c>
      <c r="U15" s="1050">
        <f t="shared" si="2"/>
        <v>0</v>
      </c>
      <c r="V15" s="39"/>
      <c r="W15" s="1049">
        <f t="shared" si="1"/>
        <v>0</v>
      </c>
      <c r="X15" s="68">
        <f t="shared" si="1"/>
        <v>0</v>
      </c>
      <c r="Y15" s="68">
        <f t="shared" si="1"/>
        <v>0</v>
      </c>
      <c r="Z15" s="1050"/>
      <c r="AA15" s="1025">
        <f t="shared" si="1"/>
        <v>0</v>
      </c>
      <c r="AB15" s="39"/>
      <c r="AC15" s="1011">
        <f>+AC14+AC13+AC12</f>
        <v>14042946.790294766</v>
      </c>
    </row>
    <row r="16" spans="1:30">
      <c r="A16" s="167"/>
      <c r="B16" s="32"/>
      <c r="C16" s="66"/>
      <c r="D16" s="1051">
        <f>D12-D18</f>
        <v>4313452.8600000013</v>
      </c>
      <c r="E16" s="70"/>
      <c r="F16" s="71"/>
      <c r="G16" s="71"/>
      <c r="H16" s="1086"/>
      <c r="I16" s="39"/>
      <c r="J16" s="1051"/>
      <c r="K16" s="70"/>
      <c r="L16" s="70"/>
      <c r="M16" s="70"/>
      <c r="N16" s="70"/>
      <c r="O16" s="1103"/>
      <c r="P16" s="70"/>
      <c r="Q16" s="70"/>
      <c r="R16" s="70"/>
      <c r="S16" s="70"/>
      <c r="T16" s="70"/>
      <c r="U16" s="1052"/>
      <c r="V16" s="39"/>
      <c r="W16" s="1051"/>
      <c r="X16" s="70"/>
      <c r="Y16" s="70"/>
      <c r="Z16" s="1052"/>
      <c r="AA16" s="1026"/>
      <c r="AB16" s="39"/>
      <c r="AC16" s="1012"/>
    </row>
    <row r="17" spans="1:30">
      <c r="A17" s="167"/>
      <c r="B17" s="32" t="s">
        <v>8</v>
      </c>
      <c r="C17" s="66"/>
      <c r="D17" s="1051"/>
      <c r="E17" s="70"/>
      <c r="F17" s="71"/>
      <c r="G17" s="71"/>
      <c r="H17" s="1086"/>
      <c r="I17" s="39"/>
      <c r="J17" s="1051"/>
      <c r="K17" s="70"/>
      <c r="L17" s="70"/>
      <c r="M17" s="70"/>
      <c r="N17" s="70"/>
      <c r="O17" s="1103"/>
      <c r="P17" s="70"/>
      <c r="Q17" s="70"/>
      <c r="R17" s="70"/>
      <c r="S17" s="70"/>
      <c r="T17" s="70"/>
      <c r="U17" s="1052"/>
      <c r="V17" s="39"/>
      <c r="W17" s="1051"/>
      <c r="X17" s="70"/>
      <c r="Y17" s="70"/>
      <c r="Z17" s="1052"/>
      <c r="AA17" s="1026"/>
      <c r="AB17" s="39"/>
      <c r="AC17" s="1012"/>
    </row>
    <row r="18" spans="1:30">
      <c r="A18" s="1113">
        <f t="shared" ref="A18:A43" ca="1" si="3">+MAX(OFFSET(A8,0,0,ROW($A18)-ROW(A8),1))+1</f>
        <v>6</v>
      </c>
      <c r="B18" s="30" t="s">
        <v>1355</v>
      </c>
      <c r="C18" s="49"/>
      <c r="D18" s="1055">
        <f>+'Liu Weather Normalization'!$F$37</f>
        <v>8150002.629999999</v>
      </c>
      <c r="E18" s="63"/>
      <c r="F18" s="65">
        <f>'Liu Restate Rev WP'!$M$48</f>
        <v>-3168926.3817709982</v>
      </c>
      <c r="G18" s="65"/>
      <c r="H18" s="1048"/>
      <c r="I18" s="39"/>
      <c r="J18" s="1047"/>
      <c r="K18" s="63"/>
      <c r="L18" s="63"/>
      <c r="M18" s="63"/>
      <c r="N18" s="63"/>
      <c r="O18" s="1101"/>
      <c r="P18" s="63"/>
      <c r="Q18" s="63"/>
      <c r="R18" s="63"/>
      <c r="S18" s="63"/>
      <c r="T18" s="63"/>
      <c r="U18" s="1048"/>
      <c r="V18" s="39"/>
      <c r="W18" s="1047"/>
      <c r="X18" s="63"/>
      <c r="Y18" s="63"/>
      <c r="Z18" s="1048"/>
      <c r="AA18" s="1024"/>
      <c r="AB18" s="39"/>
      <c r="AC18" s="1013">
        <f t="shared" ref="AC18:AC31" si="4">SUM(D18:AB18)</f>
        <v>4981076.2482290007</v>
      </c>
    </row>
    <row r="19" spans="1:30">
      <c r="A19" s="1113">
        <f t="shared" ca="1" si="3"/>
        <v>7</v>
      </c>
      <c r="B19" s="30" t="s">
        <v>1356</v>
      </c>
      <c r="C19" s="49"/>
      <c r="D19" s="1047">
        <f>+D12*('4) Conversion Factor'!D10+'4) Conversion Factor'!D11)</f>
        <v>505019.21645480004</v>
      </c>
      <c r="E19" s="63"/>
      <c r="F19" s="65">
        <f>+F15*('4) Conversion Factor'!D10+'4) Conversion Factor'!D11)</f>
        <v>-235953.76791544046</v>
      </c>
      <c r="G19" s="65"/>
      <c r="H19" s="1048"/>
      <c r="I19" s="39"/>
      <c r="J19" s="1047"/>
      <c r="K19" s="63"/>
      <c r="L19" s="65">
        <f>+L15*('4) Conversion Factor'!D10+'4) Conversion Factor'!D11)</f>
        <v>8101.7268279999998</v>
      </c>
      <c r="M19" s="63"/>
      <c r="N19" s="63"/>
      <c r="O19" s="1101"/>
      <c r="P19" s="63">
        <f>+P15*('4) Conversion Factor'!D10+'4) Conversion Factor'!D11)</f>
        <v>-4118.6553999999996</v>
      </c>
      <c r="Q19" s="63"/>
      <c r="R19" s="63">
        <f>+R15*('4) Conversion Factor'!D10+'4) Conversion Factor'!D11)</f>
        <v>295971.6839753844</v>
      </c>
      <c r="S19" s="63"/>
      <c r="T19" s="63"/>
      <c r="U19" s="1048"/>
      <c r="V19" s="39"/>
      <c r="W19" s="1047"/>
      <c r="X19" s="63"/>
      <c r="Y19" s="63"/>
      <c r="Z19" s="1048"/>
      <c r="AA19" s="1024"/>
      <c r="AB19" s="39"/>
      <c r="AC19" s="1013">
        <f t="shared" si="4"/>
        <v>569020.20394274406</v>
      </c>
    </row>
    <row r="20" spans="1:30">
      <c r="A20" s="1113">
        <f t="shared" ca="1" si="3"/>
        <v>8</v>
      </c>
      <c r="B20" s="33" t="s">
        <v>28</v>
      </c>
      <c r="C20" s="49"/>
      <c r="D20" s="1047"/>
      <c r="E20" s="63"/>
      <c r="F20" s="65"/>
      <c r="G20" s="65"/>
      <c r="H20" s="1048"/>
      <c r="I20" s="39"/>
      <c r="J20" s="1047"/>
      <c r="K20" s="63">
        <f>+'[8]Exh KMH-2 Adjustments Pg 2'!S24</f>
        <v>7924.4900311199854</v>
      </c>
      <c r="L20" s="63"/>
      <c r="M20" s="63"/>
      <c r="N20" s="63"/>
      <c r="O20" s="1101"/>
      <c r="P20" s="63"/>
      <c r="Q20" s="63"/>
      <c r="R20" s="63"/>
      <c r="S20" s="63"/>
      <c r="T20" s="63"/>
      <c r="U20" s="1048"/>
      <c r="V20" s="39"/>
      <c r="W20" s="1047"/>
      <c r="X20" s="63"/>
      <c r="Y20" s="63"/>
      <c r="Z20" s="1048"/>
      <c r="AA20" s="1024"/>
      <c r="AB20" s="39"/>
      <c r="AC20" s="1014">
        <f t="shared" si="4"/>
        <v>7924.4900311199854</v>
      </c>
    </row>
    <row r="21" spans="1:30">
      <c r="A21" s="1113">
        <f t="shared" ca="1" si="3"/>
        <v>9</v>
      </c>
      <c r="B21" s="33" t="s">
        <v>9</v>
      </c>
      <c r="C21" s="49"/>
      <c r="D21" s="1047"/>
      <c r="E21" s="63"/>
      <c r="F21" s="65"/>
      <c r="G21" s="65"/>
      <c r="H21" s="1048">
        <f>+'[8]Exh KMH-2 Adjustments Pg 2'!P25</f>
        <v>67686.843944628941</v>
      </c>
      <c r="I21" s="39"/>
      <c r="J21" s="1047"/>
      <c r="K21" s="63">
        <f>+'[8]Exh KMH-2 Adjustments Pg 2'!S25</f>
        <v>360633.30644631851</v>
      </c>
      <c r="L21" s="63"/>
      <c r="M21" s="63"/>
      <c r="N21" s="63">
        <f>+'Pro Forma Compliance Department'!L15</f>
        <v>183761.99296</v>
      </c>
      <c r="O21" s="1101">
        <f>+'[8]Exh KMH-2 Adjustments Pg 2'!$W$25</f>
        <v>423708.1</v>
      </c>
      <c r="P21" s="63"/>
      <c r="Q21" s="63"/>
      <c r="R21" s="63"/>
      <c r="S21" s="63"/>
      <c r="T21" s="63"/>
      <c r="U21" s="1048"/>
      <c r="V21" s="39"/>
      <c r="W21" s="1047"/>
      <c r="X21" s="63"/>
      <c r="Y21" s="63"/>
      <c r="Z21" s="1048"/>
      <c r="AA21" s="1024"/>
      <c r="AB21" s="39"/>
      <c r="AC21" s="1014">
        <f t="shared" si="4"/>
        <v>1035790.2433509474</v>
      </c>
    </row>
    <row r="22" spans="1:30">
      <c r="A22" s="1113">
        <f t="shared" ca="1" si="3"/>
        <v>10</v>
      </c>
      <c r="B22" s="33" t="s">
        <v>29</v>
      </c>
      <c r="C22" s="49"/>
      <c r="D22" s="1053">
        <f>+D15*'4) Conversion Factor'!D9</f>
        <v>47274.32037840251</v>
      </c>
      <c r="E22" s="73"/>
      <c r="F22" s="74">
        <f>+F15*'4) Conversion Factor'!D9</f>
        <v>-22087.385302345447</v>
      </c>
      <c r="G22" s="74"/>
      <c r="H22" s="1048">
        <f>+'[8]Exh KMH-2 Adjustments Pg 2'!P26</f>
        <v>3803.5586400000011</v>
      </c>
      <c r="I22" s="39"/>
      <c r="J22" s="1053"/>
      <c r="K22" s="63">
        <f>+'[8]Exh KMH-2 Adjustments Pg 2'!S26</f>
        <v>40890.445358345853</v>
      </c>
      <c r="L22" s="74">
        <f>+L15*'4) Conversion Factor'!D9</f>
        <v>758.39417037203009</v>
      </c>
      <c r="M22" s="72"/>
      <c r="N22" s="72"/>
      <c r="O22" s="1104"/>
      <c r="P22" s="72">
        <f>+P15*'4) Conversion Factor'!D9</f>
        <v>-385.54302205501142</v>
      </c>
      <c r="Q22" s="72">
        <f>+Q15*'4) Conversion Factor'!F9</f>
        <v>0</v>
      </c>
      <c r="R22" s="72">
        <f>+R15*'4) Conversion Factor'!D9</f>
        <v>27705.599619375902</v>
      </c>
      <c r="S22" s="72"/>
      <c r="T22" s="72"/>
      <c r="U22" s="1054"/>
      <c r="V22" s="39"/>
      <c r="W22" s="1053"/>
      <c r="X22" s="72"/>
      <c r="Y22" s="72"/>
      <c r="Z22" s="1054"/>
      <c r="AA22" s="1027"/>
      <c r="AB22" s="39"/>
      <c r="AC22" s="1014">
        <f t="shared" si="4"/>
        <v>97959.389842095843</v>
      </c>
    </row>
    <row r="23" spans="1:30">
      <c r="A23" s="1113">
        <f t="shared" ca="1" si="3"/>
        <v>11</v>
      </c>
      <c r="B23" s="33" t="s">
        <v>10</v>
      </c>
      <c r="C23" s="49"/>
      <c r="D23" s="1087"/>
      <c r="E23" s="63"/>
      <c r="F23" s="65"/>
      <c r="G23" s="65">
        <f>-'Low-Income Bill Assistance'!F20</f>
        <v>-533333.36</v>
      </c>
      <c r="H23" s="1056">
        <v>0</v>
      </c>
      <c r="I23" s="39"/>
      <c r="J23" s="1047"/>
      <c r="K23" s="63"/>
      <c r="L23" s="63"/>
      <c r="M23" s="63"/>
      <c r="N23" s="63"/>
      <c r="O23" s="1101"/>
      <c r="P23" s="63"/>
      <c r="Q23" s="63"/>
      <c r="R23" s="63"/>
      <c r="S23" s="63"/>
      <c r="T23" s="63"/>
      <c r="U23" s="1048"/>
      <c r="V23" s="39"/>
      <c r="W23" s="1047"/>
      <c r="X23" s="63"/>
      <c r="Y23" s="63"/>
      <c r="Z23" s="1048"/>
      <c r="AA23" s="1024"/>
      <c r="AB23" s="39"/>
      <c r="AC23" s="1014">
        <f t="shared" si="4"/>
        <v>-533333.36</v>
      </c>
    </row>
    <row r="24" spans="1:30">
      <c r="A24" s="1113">
        <f t="shared" ca="1" si="3"/>
        <v>12</v>
      </c>
      <c r="B24" s="33" t="s">
        <v>11</v>
      </c>
      <c r="C24" s="49"/>
      <c r="D24" s="1047"/>
      <c r="E24" s="63">
        <f>-'Advertising Adj'!F29</f>
        <v>-4916.5899999999992</v>
      </c>
      <c r="F24" s="65"/>
      <c r="G24" s="65"/>
      <c r="H24" s="1048"/>
      <c r="I24" s="39"/>
      <c r="J24" s="1047"/>
      <c r="K24" s="63"/>
      <c r="L24" s="63"/>
      <c r="M24" s="63"/>
      <c r="N24" s="63"/>
      <c r="O24" s="1101"/>
      <c r="P24" s="63"/>
      <c r="Q24" s="63"/>
      <c r="R24" s="63"/>
      <c r="S24" s="63"/>
      <c r="T24" s="63"/>
      <c r="U24" s="1048"/>
      <c r="V24" s="39"/>
      <c r="W24" s="1047"/>
      <c r="X24" s="63"/>
      <c r="Y24" s="63"/>
      <c r="Z24" s="1048"/>
      <c r="AA24" s="1024"/>
      <c r="AB24" s="39"/>
      <c r="AC24" s="1014">
        <f t="shared" si="4"/>
        <v>-4916.5899999999992</v>
      </c>
    </row>
    <row r="25" spans="1:30">
      <c r="A25" s="1113">
        <f t="shared" ca="1" si="3"/>
        <v>13</v>
      </c>
      <c r="B25" s="33" t="s">
        <v>12</v>
      </c>
      <c r="C25" s="66"/>
      <c r="D25" s="1047"/>
      <c r="E25" s="63">
        <f>-'Advertising Adj'!F75</f>
        <v>-49800.45</v>
      </c>
      <c r="F25" s="65"/>
      <c r="G25" s="65"/>
      <c r="H25" s="1048">
        <f>+'[8]Exh KMH-2 Adjustments Pg 2'!P29</f>
        <v>63.198718416000006</v>
      </c>
      <c r="I25" s="39"/>
      <c r="J25" s="1047"/>
      <c r="K25" s="63">
        <f>+'[8]Exh KMH-2 Adjustments Pg 2'!S29</f>
        <v>220902.64637509634</v>
      </c>
      <c r="L25" s="63"/>
      <c r="M25" s="63">
        <f>+'8) P-4 Rate Case Costs'!I15</f>
        <v>94439.37</v>
      </c>
      <c r="N25" s="63">
        <f>+'Pro Forma Compliance Department'!L16</f>
        <v>82692.896831999999</v>
      </c>
      <c r="O25" s="1101"/>
      <c r="P25" s="63"/>
      <c r="Q25" s="63"/>
      <c r="R25" s="63"/>
      <c r="S25" s="63">
        <v>-546651</v>
      </c>
      <c r="T25" s="63">
        <f>-SUM([9]Sheet1!$E$11:$E$13)</f>
        <v>-1136794.7034210004</v>
      </c>
      <c r="U25" s="1048">
        <v>-210756</v>
      </c>
      <c r="V25" s="39"/>
      <c r="W25" s="1047"/>
      <c r="X25" s="63"/>
      <c r="Y25" s="63"/>
      <c r="Z25" s="1048"/>
      <c r="AA25" s="1024"/>
      <c r="AB25" s="39"/>
      <c r="AC25" s="1014">
        <f t="shared" si="4"/>
        <v>-1545904.041495488</v>
      </c>
    </row>
    <row r="26" spans="1:30">
      <c r="A26" s="1113">
        <f t="shared" ca="1" si="3"/>
        <v>14</v>
      </c>
      <c r="B26" s="33" t="s">
        <v>30</v>
      </c>
      <c r="C26" s="49"/>
      <c r="D26" s="1078"/>
      <c r="E26" s="75"/>
      <c r="F26" s="76"/>
      <c r="G26" s="76"/>
      <c r="H26" s="1088"/>
      <c r="I26" s="39"/>
      <c r="J26" s="1078"/>
      <c r="K26" s="63"/>
      <c r="L26" s="63">
        <f>+'7) P-3 Pro Forma Capital'!F23</f>
        <v>59945.236749999996</v>
      </c>
      <c r="M26" s="63"/>
      <c r="N26" s="63"/>
      <c r="O26" s="1101"/>
      <c r="P26" s="63"/>
      <c r="Q26" s="63">
        <f>+'CRM Adjustment (a)'!E16</f>
        <v>78010.890174750049</v>
      </c>
      <c r="R26" s="63"/>
      <c r="S26" s="63"/>
      <c r="T26" s="63"/>
      <c r="U26" s="1048"/>
      <c r="V26" s="39"/>
      <c r="W26" s="1047"/>
      <c r="X26" s="63"/>
      <c r="Y26" s="63"/>
      <c r="Z26" s="1048"/>
      <c r="AA26" s="1024"/>
      <c r="AB26" s="39"/>
      <c r="AC26" s="1014">
        <f t="shared" si="4"/>
        <v>137956.12692475005</v>
      </c>
    </row>
    <row r="27" spans="1:30">
      <c r="A27" s="1113">
        <f t="shared" ca="1" si="3"/>
        <v>15</v>
      </c>
      <c r="B27" s="33" t="s">
        <v>31</v>
      </c>
      <c r="C27" s="49"/>
      <c r="D27" s="1047"/>
      <c r="E27" s="63"/>
      <c r="F27" s="65"/>
      <c r="G27" s="65"/>
      <c r="H27" s="1048"/>
      <c r="I27" s="39"/>
      <c r="J27" s="1047"/>
      <c r="K27" s="63"/>
      <c r="L27" s="63"/>
      <c r="M27" s="63"/>
      <c r="N27" s="63"/>
      <c r="O27" s="1101"/>
      <c r="P27" s="63"/>
      <c r="Q27" s="63"/>
      <c r="R27" s="63"/>
      <c r="S27" s="63"/>
      <c r="T27" s="63"/>
      <c r="U27" s="1048"/>
      <c r="V27" s="39"/>
      <c r="W27" s="1047"/>
      <c r="X27" s="63"/>
      <c r="Y27" s="63">
        <f>+'11) Deferral Amort'!F33*1000</f>
        <v>-1924599.6579680298</v>
      </c>
      <c r="Z27" s="1048"/>
      <c r="AA27" s="1024"/>
      <c r="AB27" s="39"/>
      <c r="AC27" s="1014">
        <f t="shared" si="4"/>
        <v>-1924599.6579680298</v>
      </c>
    </row>
    <row r="28" spans="1:30">
      <c r="A28" s="1113">
        <f t="shared" ca="1" si="3"/>
        <v>16</v>
      </c>
      <c r="B28" s="33" t="s">
        <v>32</v>
      </c>
      <c r="C28" s="49"/>
      <c r="D28" s="1047"/>
      <c r="E28" s="63"/>
      <c r="F28" s="65"/>
      <c r="G28" s="65"/>
      <c r="H28" s="1048">
        <f>+'[8]Exh KMH-2 Adjustments Pg 2'!P32</f>
        <v>5473.850499682937</v>
      </c>
      <c r="I28" s="39"/>
      <c r="J28" s="1047"/>
      <c r="K28" s="63">
        <f>+'[8]Exh KMH-2 Adjustments Pg 2'!S32</f>
        <v>38060.85860093237</v>
      </c>
      <c r="L28" s="63">
        <f>+'7) P-3 Pro Forma Capital'!F11</f>
        <v>56020.878573717193</v>
      </c>
      <c r="M28" s="63"/>
      <c r="N28" s="63">
        <f>+'Pro Forma Compliance Department'!L17</f>
        <v>13138.982496639999</v>
      </c>
      <c r="O28" s="1101"/>
      <c r="P28" s="63"/>
      <c r="Q28" s="63"/>
      <c r="R28" s="63"/>
      <c r="S28" s="63"/>
      <c r="T28" s="63"/>
      <c r="U28" s="1048"/>
      <c r="V28" s="39"/>
      <c r="W28" s="1047"/>
      <c r="X28" s="63"/>
      <c r="Y28" s="63"/>
      <c r="Z28" s="1048"/>
      <c r="AA28" s="1024"/>
      <c r="AB28" s="39"/>
      <c r="AC28" s="1014">
        <f t="shared" si="4"/>
        <v>112694.5701709725</v>
      </c>
      <c r="AD28" s="39"/>
    </row>
    <row r="29" spans="1:30">
      <c r="A29" s="1113">
        <f t="shared" ca="1" si="3"/>
        <v>17</v>
      </c>
      <c r="B29" s="33" t="s">
        <v>33</v>
      </c>
      <c r="C29" s="49"/>
      <c r="D29" s="1055">
        <f>(+D15-SUM(D18:D28))*'4) Conversion Factor'!$D$33</f>
        <v>1316405.7631083794</v>
      </c>
      <c r="E29" s="65">
        <f>(+E15-SUM(E18:E28))*'4) Conversion Factor'!$D$33+0.5</f>
        <v>19151.463999999996</v>
      </c>
      <c r="F29" s="65">
        <f>(+F15-SUM(F18:F28))*'4) Conversion Factor'!$D$33</f>
        <v>-838661.52984188625</v>
      </c>
      <c r="G29" s="65">
        <f>(+G15-SUM(G18:G28))*'4) Conversion Factor'!$D$33</f>
        <v>186666.67599999998</v>
      </c>
      <c r="H29" s="1056">
        <f>(+H15-SUM(H18:H28))*'4) Conversion Factor'!$D$33</f>
        <v>-26959.608130954759</v>
      </c>
      <c r="I29" s="39"/>
      <c r="J29" s="1055">
        <f>+'Interest Coord. Adj.'!H16</f>
        <v>387344.30741478695</v>
      </c>
      <c r="K29" s="65">
        <f>(+K15-SUM(K18:K28))*'4) Conversion Factor'!$D$33</f>
        <v>-233944.11138413457</v>
      </c>
      <c r="L29" s="65">
        <f>(+L15-SUM(L18:L28))*'4) Conversion Factor'!$D$33</f>
        <v>26291.18228726877</v>
      </c>
      <c r="M29" s="65">
        <f>(+M15-SUM(M18:M28))*'4) Conversion Factor'!$D$33</f>
        <v>-33053.779499999997</v>
      </c>
      <c r="N29" s="65">
        <f>(+N15-SUM(N18:N28))*'4) Conversion Factor'!$D$33</f>
        <v>-97857.855301023999</v>
      </c>
      <c r="O29" s="1105">
        <f>(+O15-SUM(O18:O28))*'4) Conversion Factor'!$D$33</f>
        <v>-148297.83499999999</v>
      </c>
      <c r="P29" s="65">
        <f>(+P15-SUM(P18:P28))*'4) Conversion Factor'!$D$33</f>
        <v>-33999.280552280747</v>
      </c>
      <c r="Q29" s="65">
        <f>(+Q15-SUM(Q18:Q28))*'4) Conversion Factor'!$D$33</f>
        <v>-27303.811561162514</v>
      </c>
      <c r="R29" s="65">
        <f>(+R15-SUM(R18:R28))*'4) Conversion Factor'!$D$33</f>
        <v>2443230.4579329626</v>
      </c>
      <c r="S29" s="65">
        <f>(+S15-SUM(S20:S28))*'4) Conversion Factor'!$D$33</f>
        <v>191327.84999999998</v>
      </c>
      <c r="T29" s="65">
        <f>(+T15-SUM(T20:T28))*'4) Conversion Factor'!$D$33</f>
        <v>397878.14619735011</v>
      </c>
      <c r="U29" s="1056">
        <f>(+U15-SUM(U20:U28))*'4) Conversion Factor'!$D$33</f>
        <v>73764.599999999991</v>
      </c>
      <c r="V29" s="39"/>
      <c r="W29" s="1055">
        <f>+'9) TCJA-1 Restate Tax Expense'!T29</f>
        <v>-3117495.7102677198</v>
      </c>
      <c r="X29" s="65">
        <f>(+X15-SUM(X20:X28))*'4) Conversion Factor'!$D$33</f>
        <v>0</v>
      </c>
      <c r="Y29" s="65">
        <f>-Y27*0.21</f>
        <v>404165.92817328626</v>
      </c>
      <c r="Z29" s="1056">
        <v>0</v>
      </c>
      <c r="AA29" s="1028">
        <f>(+AA15-SUM(AA20:AA28))*'4) Conversion Factor'!$D$33</f>
        <v>0</v>
      </c>
      <c r="AB29" s="39"/>
      <c r="AC29" s="1014">
        <f t="shared" si="4"/>
        <v>888652.8535748719</v>
      </c>
      <c r="AD29" s="39"/>
    </row>
    <row r="30" spans="1:30">
      <c r="A30" s="1113">
        <f t="shared" ca="1" si="3"/>
        <v>18</v>
      </c>
      <c r="B30" s="33" t="s">
        <v>2163</v>
      </c>
      <c r="C30" s="49"/>
      <c r="D30" s="1055"/>
      <c r="E30" s="65"/>
      <c r="F30" s="65"/>
      <c r="G30" s="65"/>
      <c r="H30" s="1056"/>
      <c r="I30" s="39"/>
      <c r="J30" s="1055"/>
      <c r="K30" s="65"/>
      <c r="L30" s="65"/>
      <c r="M30" s="65"/>
      <c r="N30" s="65"/>
      <c r="O30" s="1105"/>
      <c r="P30" s="65"/>
      <c r="Q30" s="65"/>
      <c r="R30" s="65"/>
      <c r="S30" s="65"/>
      <c r="T30" s="65"/>
      <c r="U30" s="1056"/>
      <c r="V30" s="39"/>
      <c r="W30" s="1055">
        <v>0</v>
      </c>
      <c r="X30" s="65">
        <f>+'10) TCJA-2 EDFIT'!P20</f>
        <v>-1870216.4053865711</v>
      </c>
      <c r="Y30" s="65"/>
      <c r="Z30" s="1056"/>
      <c r="AA30" s="1028"/>
      <c r="AB30" s="39"/>
      <c r="AC30" s="1014">
        <f t="shared" si="4"/>
        <v>-1870216.4053865711</v>
      </c>
      <c r="AD30" s="39"/>
    </row>
    <row r="31" spans="1:30">
      <c r="A31" s="1113">
        <f t="shared" ca="1" si="3"/>
        <v>19</v>
      </c>
      <c r="B31" s="36" t="s">
        <v>34</v>
      </c>
      <c r="C31" s="49"/>
      <c r="D31" s="1057">
        <f>SUM(D18:D30)</f>
        <v>10018701.929941582</v>
      </c>
      <c r="E31" s="64">
        <f t="shared" ref="E31:G31" si="5">SUM(E18:E30)</f>
        <v>-35565.576000000001</v>
      </c>
      <c r="F31" s="64">
        <f t="shared" si="5"/>
        <v>-4265629.0648306701</v>
      </c>
      <c r="G31" s="64">
        <f t="shared" si="5"/>
        <v>-346666.68400000001</v>
      </c>
      <c r="H31" s="1058">
        <f t="shared" ref="H31" si="6">SUM(H18:H30)</f>
        <v>50067.843671773124</v>
      </c>
      <c r="I31" s="39"/>
      <c r="J31" s="1057">
        <f t="shared" ref="J31:T31" si="7">SUM(J18:J30)</f>
        <v>387344.30741478695</v>
      </c>
      <c r="K31" s="64">
        <f t="shared" si="7"/>
        <v>434467.63542767853</v>
      </c>
      <c r="L31" s="64">
        <f t="shared" si="7"/>
        <v>151117.41860935799</v>
      </c>
      <c r="M31" s="64">
        <f t="shared" si="7"/>
        <v>61385.590499999998</v>
      </c>
      <c r="N31" s="64">
        <f t="shared" si="7"/>
        <v>181736.01698761602</v>
      </c>
      <c r="O31" s="1106">
        <f t="shared" si="7"/>
        <v>275410.26500000001</v>
      </c>
      <c r="P31" s="64">
        <f t="shared" si="7"/>
        <v>-38503.478974335754</v>
      </c>
      <c r="Q31" s="64">
        <f t="shared" si="7"/>
        <v>50707.078613587539</v>
      </c>
      <c r="R31" s="64">
        <f t="shared" si="7"/>
        <v>2766907.7415277227</v>
      </c>
      <c r="S31" s="64">
        <f t="shared" ref="S31" si="8">SUM(S18:S30)</f>
        <v>-355323.15</v>
      </c>
      <c r="T31" s="64">
        <f t="shared" si="7"/>
        <v>-738916.55722365028</v>
      </c>
      <c r="U31" s="1058">
        <f t="shared" ref="U31" si="9">SUM(U18:U30)</f>
        <v>-136991.40000000002</v>
      </c>
      <c r="V31" s="39"/>
      <c r="W31" s="1057">
        <f t="shared" ref="W31:X31" si="10">SUM(W18:W30)</f>
        <v>-3117495.7102677198</v>
      </c>
      <c r="X31" s="64">
        <f t="shared" si="10"/>
        <v>-1870216.4053865711</v>
      </c>
      <c r="Y31" s="64">
        <f>SUM(Y18:Y30)</f>
        <v>-1520433.7297947435</v>
      </c>
      <c r="Z31" s="1058">
        <f t="shared" ref="Z31:AA31" si="11">SUM(Z18:Z30)</f>
        <v>0</v>
      </c>
      <c r="AA31" s="1029">
        <f t="shared" si="11"/>
        <v>0</v>
      </c>
      <c r="AB31" s="39"/>
      <c r="AC31" s="1014">
        <f t="shared" si="4"/>
        <v>1952104.0712164156</v>
      </c>
      <c r="AD31" s="39"/>
    </row>
    <row r="32" spans="1:30" ht="16.5" thickBot="1">
      <c r="A32" s="1113">
        <f t="shared" ca="1" si="3"/>
        <v>20</v>
      </c>
      <c r="B32" s="36" t="s">
        <v>13</v>
      </c>
      <c r="C32" s="49"/>
      <c r="D32" s="1059">
        <f>+D15-D31</f>
        <v>2444753.5600584187</v>
      </c>
      <c r="E32" s="77">
        <f t="shared" ref="E32:G32" si="12">+E15-E31</f>
        <v>35565.576000000001</v>
      </c>
      <c r="F32" s="77">
        <f t="shared" si="12"/>
        <v>-1557514.2697063601</v>
      </c>
      <c r="G32" s="77">
        <f t="shared" si="12"/>
        <v>346666.68400000001</v>
      </c>
      <c r="H32" s="1060">
        <f t="shared" ref="H32" si="13">+H15-H31</f>
        <v>-50067.843671773124</v>
      </c>
      <c r="I32" s="39"/>
      <c r="J32" s="1059">
        <f t="shared" ref="J32:T32" si="14">+J15-J31</f>
        <v>-387344.30741478695</v>
      </c>
      <c r="K32" s="77">
        <f t="shared" si="14"/>
        <v>-434467.63542767853</v>
      </c>
      <c r="L32" s="77">
        <f t="shared" si="14"/>
        <v>48826.481390642002</v>
      </c>
      <c r="M32" s="77">
        <f t="shared" si="14"/>
        <v>-61385.590499999998</v>
      </c>
      <c r="N32" s="77">
        <f t="shared" si="14"/>
        <v>-181736.01698761602</v>
      </c>
      <c r="O32" s="1107">
        <f t="shared" si="14"/>
        <v>-275410.26500000001</v>
      </c>
      <c r="P32" s="77">
        <f t="shared" si="14"/>
        <v>-63141.521025664246</v>
      </c>
      <c r="Q32" s="77">
        <f t="shared" si="14"/>
        <v>-50707.078613587539</v>
      </c>
      <c r="R32" s="77">
        <f t="shared" si="14"/>
        <v>4537427.9933040738</v>
      </c>
      <c r="S32" s="77">
        <f t="shared" ref="S32" si="15">+S15-S31</f>
        <v>355323.15</v>
      </c>
      <c r="T32" s="77">
        <f t="shared" si="14"/>
        <v>738916.55722365028</v>
      </c>
      <c r="U32" s="1060">
        <f t="shared" ref="U32" si="16">+U15-U31</f>
        <v>136991.40000000002</v>
      </c>
      <c r="V32" s="39"/>
      <c r="W32" s="1059">
        <f t="shared" ref="W32" si="17">+W15-W31</f>
        <v>3117495.7102677198</v>
      </c>
      <c r="X32" s="77">
        <f t="shared" ref="X32" si="18">+X15-X31</f>
        <v>1870216.4053865711</v>
      </c>
      <c r="Y32" s="77">
        <f t="shared" ref="Y32" si="19">+Y15-Y31</f>
        <v>1520433.7297947435</v>
      </c>
      <c r="Z32" s="1060"/>
      <c r="AA32" s="1030">
        <f t="shared" ref="AA32" si="20">+AA15-AA31</f>
        <v>0</v>
      </c>
      <c r="AB32" s="39"/>
      <c r="AC32" s="1015">
        <f>+AC15-AC31</f>
        <v>12090842.719078351</v>
      </c>
      <c r="AD32" s="39"/>
    </row>
    <row r="33" spans="1:141" ht="16.5" thickBot="1">
      <c r="A33" s="167"/>
      <c r="B33" s="36"/>
      <c r="C33" s="49"/>
      <c r="D33" s="1061"/>
      <c r="E33" s="78"/>
      <c r="F33" s="79"/>
      <c r="G33" s="79"/>
      <c r="H33" s="1062"/>
      <c r="I33" s="39"/>
      <c r="J33" s="1061"/>
      <c r="K33" s="80"/>
      <c r="L33" s="78"/>
      <c r="M33" s="78"/>
      <c r="N33" s="78"/>
      <c r="O33" s="1108"/>
      <c r="P33" s="78"/>
      <c r="Q33" s="78"/>
      <c r="R33" s="78"/>
      <c r="S33" s="78"/>
      <c r="T33" s="78"/>
      <c r="U33" s="1062"/>
      <c r="V33" s="39"/>
      <c r="W33" s="1061"/>
      <c r="X33" s="78"/>
      <c r="Y33" s="78"/>
      <c r="Z33" s="1062"/>
      <c r="AA33" s="1031"/>
      <c r="AB33" s="39"/>
      <c r="AC33" s="1016"/>
      <c r="AD33" s="1005"/>
    </row>
    <row r="34" spans="1:141" ht="16.5" thickTop="1">
      <c r="A34" s="1113">
        <f t="shared" ca="1" si="3"/>
        <v>21</v>
      </c>
      <c r="B34" s="36" t="s">
        <v>35</v>
      </c>
      <c r="C34" s="49"/>
      <c r="D34" s="1063"/>
      <c r="E34" s="870"/>
      <c r="F34" s="1089"/>
      <c r="G34" s="1089"/>
      <c r="H34" s="1064"/>
      <c r="I34" s="39"/>
      <c r="J34" s="1063"/>
      <c r="K34" s="1079"/>
      <c r="L34" s="870"/>
      <c r="M34" s="870"/>
      <c r="N34" s="870"/>
      <c r="O34" s="1109"/>
      <c r="P34" s="870"/>
      <c r="Q34" s="870"/>
      <c r="R34" s="870"/>
      <c r="S34" s="870"/>
      <c r="T34" s="870"/>
      <c r="U34" s="1064"/>
      <c r="V34" s="39"/>
      <c r="W34" s="1063"/>
      <c r="X34" s="870"/>
      <c r="Y34" s="870"/>
      <c r="Z34" s="1064"/>
      <c r="AA34" s="1032"/>
      <c r="AB34" s="39"/>
      <c r="AC34" s="1017"/>
      <c r="AD34" s="39"/>
    </row>
    <row r="35" spans="1:141">
      <c r="A35" s="1113">
        <f t="shared" ca="1" si="3"/>
        <v>22</v>
      </c>
      <c r="B35" s="30" t="s">
        <v>37</v>
      </c>
      <c r="C35" s="49"/>
      <c r="D35" s="1078"/>
      <c r="E35" s="75"/>
      <c r="F35" s="76"/>
      <c r="G35" s="76"/>
      <c r="H35" s="1088"/>
      <c r="I35" s="39"/>
      <c r="J35" s="1078"/>
      <c r="K35" s="63"/>
      <c r="L35" s="63">
        <f>+'7) P-3 Pro Forma Capital'!F8</f>
        <v>4795618.9400000004</v>
      </c>
      <c r="M35" s="63"/>
      <c r="N35" s="63"/>
      <c r="O35" s="1101"/>
      <c r="P35" s="63"/>
      <c r="Q35" s="63">
        <f>+'CRM Adjustment (a)'!C14</f>
        <v>3023677.9137500022</v>
      </c>
      <c r="R35" s="63"/>
      <c r="S35" s="63"/>
      <c r="T35" s="63"/>
      <c r="U35" s="1048"/>
      <c r="V35" s="39"/>
      <c r="W35" s="1047"/>
      <c r="X35" s="63"/>
      <c r="Y35" s="63"/>
      <c r="Z35" s="1048"/>
      <c r="AA35" s="1024"/>
      <c r="AB35" s="39"/>
      <c r="AC35" s="1018">
        <f t="shared" ref="AC35:AC40" si="21">SUM(D35:AB35)</f>
        <v>7819296.8537500026</v>
      </c>
      <c r="AD35" s="39"/>
    </row>
    <row r="36" spans="1:141">
      <c r="A36" s="1113">
        <f t="shared" ca="1" si="3"/>
        <v>23</v>
      </c>
      <c r="B36" s="30" t="s">
        <v>38</v>
      </c>
      <c r="C36" s="49"/>
      <c r="D36" s="1066"/>
      <c r="E36" s="871"/>
      <c r="F36" s="875"/>
      <c r="G36" s="875"/>
      <c r="H36" s="1065"/>
      <c r="I36" s="39"/>
      <c r="J36" s="1066"/>
      <c r="K36" s="871"/>
      <c r="L36" s="871">
        <f>-'7) P-3 Pro Forma Capital'!F16</f>
        <v>-29972.618375000005</v>
      </c>
      <c r="M36" s="871"/>
      <c r="N36" s="871"/>
      <c r="O36" s="1110"/>
      <c r="P36" s="871"/>
      <c r="Q36" s="871">
        <f>-'CRM Adjustment (a)'!C17</f>
        <v>-39005.445087375025</v>
      </c>
      <c r="R36" s="871"/>
      <c r="S36" s="871"/>
      <c r="T36" s="871"/>
      <c r="U36" s="1065"/>
      <c r="V36" s="39"/>
      <c r="W36" s="1047"/>
      <c r="X36" s="871"/>
      <c r="Y36" s="871"/>
      <c r="Z36" s="1065"/>
      <c r="AA36" s="1033"/>
      <c r="AB36" s="39"/>
      <c r="AC36" s="1018">
        <f t="shared" si="21"/>
        <v>-68978.063462375023</v>
      </c>
      <c r="AD36" s="39"/>
    </row>
    <row r="37" spans="1:141">
      <c r="A37" s="1113">
        <f t="shared" ca="1" si="3"/>
        <v>24</v>
      </c>
      <c r="B37" s="31" t="s">
        <v>14</v>
      </c>
      <c r="C37" s="49"/>
      <c r="D37" s="1066"/>
      <c r="E37" s="871"/>
      <c r="F37" s="875"/>
      <c r="G37" s="875"/>
      <c r="H37" s="1065"/>
      <c r="I37" s="39"/>
      <c r="J37" s="1066"/>
      <c r="K37" s="871"/>
      <c r="L37" s="871"/>
      <c r="M37" s="871"/>
      <c r="N37" s="871"/>
      <c r="O37" s="1110"/>
      <c r="P37" s="871"/>
      <c r="Q37" s="871"/>
      <c r="R37" s="871"/>
      <c r="S37" s="871"/>
      <c r="T37" s="871"/>
      <c r="U37" s="1065"/>
      <c r="V37" s="39"/>
      <c r="W37" s="1066"/>
      <c r="X37" s="871"/>
      <c r="Y37" s="871"/>
      <c r="Z37" s="1065"/>
      <c r="AA37" s="1033"/>
      <c r="AB37" s="39"/>
      <c r="AC37" s="1018">
        <f t="shared" si="21"/>
        <v>0</v>
      </c>
      <c r="AD37" s="39"/>
    </row>
    <row r="38" spans="1:141">
      <c r="A38" s="1113">
        <f t="shared" ca="1" si="3"/>
        <v>25</v>
      </c>
      <c r="B38" s="31" t="s">
        <v>39</v>
      </c>
      <c r="C38" s="49"/>
      <c r="D38" s="1066"/>
      <c r="E38" s="871"/>
      <c r="F38" s="875"/>
      <c r="G38" s="875"/>
      <c r="H38" s="1065"/>
      <c r="I38" s="39"/>
      <c r="J38" s="1066"/>
      <c r="K38" s="871"/>
      <c r="L38" s="871">
        <f>-'7) P-3 Pro Forma Capital'!F25</f>
        <v>-20980.832862499996</v>
      </c>
      <c r="M38" s="871"/>
      <c r="N38" s="871"/>
      <c r="O38" s="1110"/>
      <c r="P38" s="871"/>
      <c r="Q38" s="871">
        <f>-'CRM Adjustment (a)'!C20</f>
        <v>-6190.9805284031308</v>
      </c>
      <c r="R38" s="871"/>
      <c r="S38" s="871"/>
      <c r="T38" s="871"/>
      <c r="U38" s="1065"/>
      <c r="V38" s="39"/>
      <c r="W38" s="1066"/>
      <c r="X38" s="871">
        <f>+'10) TCJA-2 EDFIT'!L20</f>
        <v>-39787695.384766549</v>
      </c>
      <c r="Y38" s="871"/>
      <c r="Z38" s="1065"/>
      <c r="AA38" s="1033"/>
      <c r="AB38" s="39"/>
      <c r="AC38" s="1018">
        <f t="shared" si="21"/>
        <v>-39814867.198157452</v>
      </c>
      <c r="AD38" s="39"/>
    </row>
    <row r="39" spans="1:141">
      <c r="A39" s="1113">
        <f t="shared" ca="1" si="3"/>
        <v>26</v>
      </c>
      <c r="B39" s="31" t="s">
        <v>2162</v>
      </c>
      <c r="C39" s="49"/>
      <c r="D39" s="1066"/>
      <c r="E39" s="871"/>
      <c r="F39" s="875"/>
      <c r="G39" s="875"/>
      <c r="H39" s="1065"/>
      <c r="I39" s="39"/>
      <c r="J39" s="1066"/>
      <c r="K39" s="871"/>
      <c r="L39" s="871"/>
      <c r="M39" s="871"/>
      <c r="N39" s="871"/>
      <c r="O39" s="1110"/>
      <c r="P39" s="871"/>
      <c r="Q39" s="871"/>
      <c r="R39" s="871"/>
      <c r="S39" s="871"/>
      <c r="T39" s="871"/>
      <c r="U39" s="1065"/>
      <c r="V39" s="39"/>
      <c r="W39" s="1066"/>
      <c r="X39" s="871">
        <f>-X38-X30/2</f>
        <v>40722803.587459832</v>
      </c>
      <c r="Y39" s="871"/>
      <c r="Z39" s="1065"/>
      <c r="AA39" s="1033"/>
      <c r="AB39" s="39"/>
      <c r="AC39" s="1018">
        <f t="shared" si="21"/>
        <v>40722803.587459832</v>
      </c>
      <c r="AD39" s="39"/>
    </row>
    <row r="40" spans="1:141">
      <c r="A40" s="1113">
        <f t="shared" ca="1" si="3"/>
        <v>27</v>
      </c>
      <c r="B40" s="31" t="s">
        <v>40</v>
      </c>
      <c r="C40" s="49"/>
      <c r="D40" s="1066"/>
      <c r="E40" s="871"/>
      <c r="F40" s="875"/>
      <c r="G40" s="875"/>
      <c r="H40" s="1065"/>
      <c r="I40" s="39"/>
      <c r="J40" s="1066"/>
      <c r="K40" s="871"/>
      <c r="L40" s="871"/>
      <c r="M40" s="871"/>
      <c r="N40" s="871"/>
      <c r="O40" s="1110"/>
      <c r="P40" s="871"/>
      <c r="Q40" s="871"/>
      <c r="R40" s="871"/>
      <c r="S40" s="871"/>
      <c r="T40" s="871"/>
      <c r="U40" s="1065"/>
      <c r="V40" s="39"/>
      <c r="W40" s="1066"/>
      <c r="X40" s="871"/>
      <c r="Y40" s="871"/>
      <c r="Z40" s="1065"/>
      <c r="AA40" s="1033"/>
      <c r="AB40" s="39"/>
      <c r="AC40" s="1018">
        <f t="shared" si="21"/>
        <v>0</v>
      </c>
      <c r="AD40" s="39"/>
    </row>
    <row r="41" spans="1:141" ht="16.5" thickBot="1">
      <c r="A41" s="1113">
        <f t="shared" ca="1" si="3"/>
        <v>28</v>
      </c>
      <c r="B41" s="36" t="s">
        <v>2288</v>
      </c>
      <c r="C41" s="49"/>
      <c r="D41" s="1067">
        <f>SUM(D35:D40)</f>
        <v>0</v>
      </c>
      <c r="E41" s="81">
        <f>SUM(E35:E40)</f>
        <v>0</v>
      </c>
      <c r="F41" s="81">
        <f>SUM(F35:F40)</f>
        <v>0</v>
      </c>
      <c r="G41" s="81">
        <f>SUM(G35:G40)</f>
        <v>0</v>
      </c>
      <c r="H41" s="1068">
        <f>SUM(H35:H40)</f>
        <v>0</v>
      </c>
      <c r="I41" s="39"/>
      <c r="J41" s="1067">
        <f>SUM(J35:J40)</f>
        <v>0</v>
      </c>
      <c r="K41" s="81">
        <f>SUM(K35:K40)</f>
        <v>0</v>
      </c>
      <c r="L41" s="81">
        <f>SUM(L35:L40)</f>
        <v>4744665.4887625007</v>
      </c>
      <c r="M41" s="81">
        <f>SUM(M35:M40)</f>
        <v>0</v>
      </c>
      <c r="N41" s="81"/>
      <c r="O41" s="1111"/>
      <c r="P41" s="81">
        <f t="shared" ref="P41:AA41" si="22">SUM(P35:P40)</f>
        <v>0</v>
      </c>
      <c r="Q41" s="81">
        <f t="shared" si="22"/>
        <v>2978481.488134224</v>
      </c>
      <c r="R41" s="81">
        <f t="shared" si="22"/>
        <v>0</v>
      </c>
      <c r="S41" s="81">
        <f t="shared" si="22"/>
        <v>0</v>
      </c>
      <c r="T41" s="81">
        <f t="shared" ref="T41:U41" si="23">SUM(T35:T40)</f>
        <v>0</v>
      </c>
      <c r="U41" s="1068">
        <f t="shared" si="23"/>
        <v>0</v>
      </c>
      <c r="V41" s="39"/>
      <c r="W41" s="1067">
        <f t="shared" si="22"/>
        <v>0</v>
      </c>
      <c r="X41" s="81">
        <f t="shared" si="22"/>
        <v>935108.20269328356</v>
      </c>
      <c r="Y41" s="81">
        <f t="shared" si="22"/>
        <v>0</v>
      </c>
      <c r="Z41" s="1068"/>
      <c r="AA41" s="1034">
        <f t="shared" si="22"/>
        <v>0</v>
      </c>
      <c r="AB41" s="39"/>
      <c r="AC41" s="1019">
        <f>SUM(AC35:AC40)</f>
        <v>8658255.1795900092</v>
      </c>
      <c r="AD41" s="39"/>
    </row>
    <row r="42" spans="1:141" ht="16.5" thickBot="1">
      <c r="A42" s="167"/>
      <c r="B42" s="82"/>
      <c r="C42" s="66"/>
      <c r="D42" s="1049"/>
      <c r="E42" s="68"/>
      <c r="F42" s="69"/>
      <c r="G42" s="69"/>
      <c r="H42" s="1050"/>
      <c r="I42" s="39"/>
      <c r="J42" s="1049"/>
      <c r="K42" s="83"/>
      <c r="L42" s="84"/>
      <c r="M42" s="68"/>
      <c r="N42" s="68"/>
      <c r="O42" s="1102"/>
      <c r="P42" s="68"/>
      <c r="Q42" s="84"/>
      <c r="R42" s="68"/>
      <c r="S42" s="68"/>
      <c r="T42" s="68"/>
      <c r="U42" s="1050"/>
      <c r="V42" s="39"/>
      <c r="W42" s="1049"/>
      <c r="X42" s="68"/>
      <c r="Y42" s="68"/>
      <c r="Z42" s="1050"/>
      <c r="AA42" s="1025"/>
      <c r="AB42" s="39"/>
      <c r="AC42" s="1020"/>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row>
    <row r="43" spans="1:141" ht="16.5" thickBot="1">
      <c r="A43" s="1113">
        <f t="shared" ca="1" si="3"/>
        <v>29</v>
      </c>
      <c r="B43" s="82" t="s">
        <v>2287</v>
      </c>
      <c r="C43" s="66"/>
      <c r="D43" s="1069">
        <f>((+D41*'5) Cost of Capital'!$J$14)-'6) Adj Detail'!D32)/'4) Conversion Factor'!$D$26</f>
        <v>-3935555.7416986343</v>
      </c>
      <c r="E43" s="1070">
        <f>((+E41*'5) Cost of Capital'!$J$14)-'6) Adj Detail'!E32)/'4) Conversion Factor'!$D$26</f>
        <v>-57253.340017745795</v>
      </c>
      <c r="F43" s="1090">
        <f>((+F41*'5) Cost of Capital'!$J$14)-'6) Adj Detail'!F32)/'4) Conversion Factor'!$D$26</f>
        <v>2507281.03112935</v>
      </c>
      <c r="G43" s="1090">
        <f>((+G41*'5) Cost of Capital'!$J$14)-'6) Adj Detail'!G32)/'4) Conversion Factor'!$D$26</f>
        <v>-558062.81703061506</v>
      </c>
      <c r="H43" s="1091">
        <f>((+H41*'5) Cost of Capital'!$J$14)-'6) Adj Detail'!H32)/'4) Conversion Factor'!$D$26</f>
        <v>80599.039860773482</v>
      </c>
      <c r="I43" s="39"/>
      <c r="J43" s="1069">
        <f>((+J41*'5) Cost of Capital'!$J$14)-'6) Adj Detail'!J32)/'4) Conversion Factor'!$D$26</f>
        <v>623545.51312080678</v>
      </c>
      <c r="K43" s="1070">
        <f>((+K41*'5) Cost of Capital'!$J$14)-'6) Adj Detail'!K32)/'4) Conversion Factor'!$D$26</f>
        <v>699404.48195881594</v>
      </c>
      <c r="L43" s="1070">
        <f>((+L41*'5) Cost of Capital'!$J$14)-'6) Adj Detail'!L32)/'4) Conversion Factor'!$D$26</f>
        <v>482635.56782511697</v>
      </c>
      <c r="M43" s="1070">
        <f>((+M41*'5) Cost of Capital'!$J$14)-'6) Adj Detail'!M32)/'4) Conversion Factor'!$D$26</f>
        <v>98818.309173078087</v>
      </c>
      <c r="N43" s="1070">
        <f>((+N41*'5) Cost of Capital'!$J$14)-'6) Adj Detail'!N32)/'4) Conversion Factor'!$D$26</f>
        <v>292558.00536065566</v>
      </c>
      <c r="O43" s="1112">
        <f>((+O41*'5) Cost of Capital'!$J$14)-'6) Adj Detail'!O32)/'4) Conversion Factor'!$D$26</f>
        <v>443354.48261606885</v>
      </c>
      <c r="P43" s="1070">
        <f>((+P41*'5) Cost of Capital'!$J$14)-'6) Adj Detail'!P32)/'4) Conversion Factor'!$D$26</f>
        <v>101645</v>
      </c>
      <c r="Q43" s="1070">
        <f>((+Q41*'5) Cost of Capital'!$J$14)-'6) Adj Detail'!Q32)/'4) Conversion Factor'!$D$26</f>
        <v>433946.24161551497</v>
      </c>
      <c r="R43" s="1070">
        <f>((+R41*'5) Cost of Capital'!$J$14)-'6) Adj Detail'!R32)/'4) Conversion Factor'!$D$26</f>
        <v>-7304335.734831797</v>
      </c>
      <c r="S43" s="1070">
        <f>((+S41*'5) Cost of Capital'!$J$14)-'6) Adj Detail'!S32)/'4) Conversion Factor'!$D$26</f>
        <v>-571997.96576123196</v>
      </c>
      <c r="T43" s="1070">
        <f>((+T41*'5) Cost of Capital'!$J$14)-'6) Adj Detail'!T32)/'4) Conversion Factor'!$D$26</f>
        <v>-1189505.2928558718</v>
      </c>
      <c r="U43" s="1080">
        <f>((+U41*'5) Cost of Capital'!$J$14)-'6) Adj Detail'!U32)/'4) Conversion Factor'!$D$26</f>
        <v>-220528.27722253176</v>
      </c>
      <c r="V43" s="39"/>
      <c r="W43" s="1069">
        <f>((+W41*'5) Cost of Capital'!$J$14)-W32)/'4) Conversion Factor'!$F$26</f>
        <v>-4129173.3018155326</v>
      </c>
      <c r="X43" s="1070">
        <f>((+X41*'5) Cost of Capital'!$J$14)-X32)/'4) Conversion Factor'!$F$26</f>
        <v>-2386121.9435164509</v>
      </c>
      <c r="Y43" s="1070">
        <f>((+Y41*'5) Cost of Capital'!$J$14)-Y32)/'4) Conversion Factor'!$F$26</f>
        <v>-2013838.9745239206</v>
      </c>
      <c r="Z43" s="1093">
        <f>+SUM(D43:U43,'2) ROO Summary Sheet'!D42)*('4) Conversion Factor'!D26/'4) Conversion Factor'!F26-1)</f>
        <v>296949.12496453093</v>
      </c>
      <c r="AA43" s="1035">
        <f>((+AA41*'5) Cost of Capital'!$J$14)-AA32)/'4) Conversion Factor'!$F$26</f>
        <v>0</v>
      </c>
      <c r="AB43" s="39"/>
      <c r="AC43" s="1021">
        <f>((+AC41*'5) Cost of Capital'!$J$14)-AC32)/'4) Conversion Factor'!$F$26</f>
        <v>-15171847.476682309</v>
      </c>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row>
    <row r="44" spans="1:141">
      <c r="A44" s="893"/>
      <c r="B44" s="39"/>
      <c r="C44" s="39"/>
      <c r="D44" s="87"/>
      <c r="E44" s="87"/>
      <c r="F44" s="87"/>
      <c r="G44" s="87"/>
      <c r="H44" s="87"/>
      <c r="I44" s="39"/>
      <c r="J44" s="87"/>
      <c r="K44" s="87"/>
      <c r="L44" s="87"/>
      <c r="M44" s="87"/>
      <c r="N44" s="87"/>
      <c r="O44" s="87"/>
      <c r="P44" s="87"/>
      <c r="Q44" s="87"/>
      <c r="R44" s="87"/>
      <c r="S44" s="87"/>
      <c r="T44" s="87"/>
      <c r="U44" s="87"/>
      <c r="V44" s="39"/>
      <c r="W44" s="87"/>
      <c r="X44" s="87"/>
      <c r="Y44" s="87"/>
      <c r="Z44" s="87"/>
      <c r="AA44" s="87"/>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row>
    <row r="45" spans="1:141">
      <c r="A45" s="39"/>
      <c r="B45" s="39"/>
      <c r="C45" s="39"/>
      <c r="D45" s="88"/>
      <c r="E45" s="88"/>
      <c r="F45" s="88"/>
      <c r="G45" s="88"/>
      <c r="H45" s="88"/>
      <c r="I45" s="39"/>
      <c r="J45" s="88"/>
      <c r="K45" s="88"/>
      <c r="L45" s="88"/>
      <c r="M45" s="88"/>
      <c r="N45" s="88"/>
      <c r="O45" s="88"/>
      <c r="P45" s="88"/>
      <c r="Q45" s="88"/>
      <c r="R45" s="88"/>
      <c r="S45" s="89"/>
      <c r="T45" s="89"/>
      <c r="U45" s="89"/>
      <c r="V45" s="88"/>
      <c r="W45" s="89"/>
      <c r="X45" s="89"/>
      <c r="Y45" s="89"/>
      <c r="Z45" s="89"/>
      <c r="AA45" s="89"/>
      <c r="AB45" s="39"/>
      <c r="AC45" s="40"/>
      <c r="AD45" s="40"/>
      <c r="AE45" s="40"/>
      <c r="AF45" s="40"/>
      <c r="AG45" s="40"/>
      <c r="AH45" s="40"/>
      <c r="AI45" s="40"/>
      <c r="AJ45" s="40"/>
      <c r="AK45" s="40"/>
      <c r="AL45" s="40"/>
      <c r="AM45" s="40"/>
      <c r="AN45" s="40"/>
      <c r="AO45" s="40"/>
      <c r="AP45" s="40"/>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row>
    <row r="46" spans="1:141">
      <c r="A46" s="39"/>
      <c r="B46" s="39"/>
      <c r="C46" s="39"/>
      <c r="D46" s="40"/>
      <c r="E46" s="40"/>
      <c r="F46" s="40"/>
      <c r="G46" s="40"/>
      <c r="H46" s="40"/>
      <c r="I46" s="39"/>
      <c r="J46" s="40"/>
      <c r="K46" s="90"/>
      <c r="L46" s="40"/>
      <c r="M46" s="40"/>
      <c r="N46" s="40"/>
      <c r="O46" s="40"/>
      <c r="P46" s="40"/>
      <c r="Q46" s="40"/>
      <c r="R46" s="40"/>
      <c r="S46" s="40"/>
      <c r="T46" s="40"/>
      <c r="U46" s="40"/>
      <c r="V46" s="40"/>
      <c r="W46" s="40"/>
      <c r="X46" s="40"/>
      <c r="Y46" s="40"/>
      <c r="Z46" s="40"/>
      <c r="AA46" s="40"/>
      <c r="AB46" s="39"/>
      <c r="AC46" s="91"/>
      <c r="AD46" s="40"/>
      <c r="AE46" s="40"/>
      <c r="AF46" s="40"/>
      <c r="AG46" s="40"/>
      <c r="AH46" s="40"/>
      <c r="AI46" s="40"/>
      <c r="AJ46" s="40"/>
      <c r="AK46" s="40"/>
      <c r="AL46" s="40"/>
      <c r="AM46" s="40"/>
      <c r="AN46" s="40"/>
      <c r="AO46" s="40"/>
      <c r="AP46" s="40"/>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row>
    <row r="47" spans="1:141">
      <c r="A47" s="39"/>
      <c r="B47" s="39"/>
      <c r="C47" s="39"/>
      <c r="D47" s="40"/>
      <c r="E47" s="40"/>
      <c r="F47" s="40"/>
      <c r="G47" s="40"/>
      <c r="H47" s="40"/>
      <c r="I47" s="39"/>
      <c r="J47" s="40"/>
      <c r="K47" s="92"/>
      <c r="L47" s="40"/>
      <c r="M47" s="40"/>
      <c r="N47" s="40"/>
      <c r="O47" s="40"/>
      <c r="P47" s="40"/>
      <c r="Q47" s="40"/>
      <c r="R47" s="40"/>
      <c r="S47" s="40"/>
      <c r="T47" s="40"/>
      <c r="U47" s="40"/>
      <c r="V47" s="40"/>
      <c r="W47" s="40"/>
      <c r="X47" s="40"/>
      <c r="Y47" s="40"/>
      <c r="Z47" s="40"/>
      <c r="AA47" s="40"/>
      <c r="AB47" s="39"/>
      <c r="AC47" s="93"/>
      <c r="AD47" s="40"/>
      <c r="AE47" s="40"/>
      <c r="AF47" s="40"/>
      <c r="AG47" s="40"/>
      <c r="AH47" s="40"/>
      <c r="AI47" s="40"/>
      <c r="AJ47" s="40"/>
      <c r="AK47" s="40"/>
      <c r="AL47" s="40"/>
      <c r="AM47" s="40"/>
      <c r="AN47" s="40"/>
      <c r="AO47" s="40"/>
      <c r="AP47" s="40"/>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row>
    <row r="48" spans="1:141">
      <c r="A48" s="39"/>
      <c r="B48" s="39"/>
      <c r="C48" s="39"/>
      <c r="D48" s="40"/>
      <c r="E48" s="94"/>
      <c r="F48" s="94"/>
      <c r="G48" s="94"/>
      <c r="H48" s="94"/>
      <c r="I48" s="39"/>
      <c r="J48" s="94"/>
      <c r="K48" s="92"/>
      <c r="L48" s="94"/>
      <c r="M48" s="94"/>
      <c r="N48" s="94"/>
      <c r="O48" s="94"/>
      <c r="P48" s="94"/>
      <c r="Q48" s="94"/>
      <c r="R48" s="94"/>
      <c r="S48" s="94"/>
      <c r="T48" s="94"/>
      <c r="U48" s="94"/>
      <c r="V48" s="94"/>
      <c r="W48" s="94"/>
      <c r="X48" s="94"/>
      <c r="Y48" s="94"/>
      <c r="Z48" s="94"/>
      <c r="AA48" s="94"/>
      <c r="AB48" s="39"/>
      <c r="AC48" s="40"/>
      <c r="AD48" s="40"/>
      <c r="AE48" s="40"/>
      <c r="AF48" s="40"/>
      <c r="AG48" s="40"/>
      <c r="AH48" s="40"/>
      <c r="AI48" s="40"/>
      <c r="AJ48" s="40"/>
      <c r="AK48" s="40"/>
      <c r="AL48" s="40"/>
      <c r="AM48" s="40"/>
      <c r="AN48" s="40"/>
      <c r="AO48" s="40"/>
      <c r="AP48" s="40"/>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row>
    <row r="49" spans="1:141">
      <c r="A49" s="39"/>
      <c r="B49" s="39"/>
      <c r="C49" s="39"/>
      <c r="D49" s="40"/>
      <c r="E49" s="40"/>
      <c r="F49" s="40"/>
      <c r="G49" s="40"/>
      <c r="H49" s="40"/>
      <c r="I49" s="40"/>
      <c r="J49" s="40"/>
      <c r="K49" s="92"/>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row>
    <row r="50" spans="1:141">
      <c r="A50" s="39"/>
      <c r="B50" s="39"/>
      <c r="C50" s="39"/>
      <c r="D50" s="924"/>
      <c r="E50" s="924"/>
      <c r="F50" s="924"/>
      <c r="G50" s="924"/>
      <c r="H50" s="924"/>
      <c r="I50" s="94"/>
      <c r="J50" s="924"/>
      <c r="K50" s="924"/>
      <c r="L50" s="924"/>
      <c r="M50" s="924"/>
      <c r="N50" s="924"/>
      <c r="O50" s="924"/>
      <c r="P50" s="924"/>
      <c r="Q50" s="924"/>
      <c r="R50" s="924"/>
      <c r="S50" s="924"/>
      <c r="T50" s="924"/>
      <c r="U50" s="924"/>
      <c r="V50" s="94"/>
      <c r="W50" s="924"/>
      <c r="X50" s="924"/>
      <c r="Y50" s="924"/>
      <c r="Z50" s="924"/>
      <c r="AA50" s="94"/>
      <c r="AB50" s="40"/>
      <c r="AC50" s="40"/>
      <c r="AD50" s="40"/>
      <c r="AE50" s="40"/>
      <c r="AF50" s="40"/>
      <c r="AG50" s="40"/>
      <c r="AH50" s="40"/>
      <c r="AI50" s="40"/>
      <c r="AJ50" s="40"/>
      <c r="AK50" s="40"/>
      <c r="AL50" s="40"/>
      <c r="AM50" s="40"/>
      <c r="AN50" s="40"/>
      <c r="AO50" s="40"/>
      <c r="AP50" s="40"/>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row>
    <row r="51" spans="1:141">
      <c r="A51" s="39"/>
      <c r="B51" s="39"/>
      <c r="C51" s="39"/>
      <c r="D51" s="40"/>
      <c r="E51" s="95"/>
      <c r="F51" s="95"/>
      <c r="G51" s="95"/>
      <c r="H51" s="95"/>
      <c r="I51" s="95"/>
      <c r="J51" s="95"/>
      <c r="K51" s="92"/>
      <c r="L51" s="95"/>
      <c r="M51" s="95"/>
      <c r="N51" s="95"/>
      <c r="O51" s="95"/>
      <c r="P51" s="95"/>
      <c r="Q51" s="95"/>
      <c r="R51" s="95"/>
      <c r="S51" s="95"/>
      <c r="T51" s="95"/>
      <c r="U51" s="95"/>
      <c r="V51" s="95"/>
      <c r="W51" s="95"/>
      <c r="X51" s="95"/>
      <c r="Y51" s="95"/>
      <c r="Z51" s="95"/>
      <c r="AA51" s="95"/>
      <c r="AB51" s="40"/>
      <c r="AC51" s="40"/>
      <c r="AD51" s="40"/>
      <c r="AE51" s="40"/>
      <c r="AF51" s="40"/>
      <c r="AG51" s="40"/>
      <c r="AH51" s="40"/>
      <c r="AI51" s="40"/>
      <c r="AJ51" s="40"/>
      <c r="AK51" s="40"/>
      <c r="AL51" s="40"/>
      <c r="AM51" s="40"/>
      <c r="AN51" s="40"/>
      <c r="AO51" s="40"/>
      <c r="AP51" s="40"/>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row>
    <row r="52" spans="1:141">
      <c r="A52" s="39"/>
      <c r="B52" s="39"/>
      <c r="C52" s="39"/>
      <c r="D52" s="40"/>
      <c r="E52" s="95"/>
      <c r="F52" s="95"/>
      <c r="G52" s="95"/>
      <c r="H52" s="95"/>
      <c r="I52" s="95"/>
      <c r="J52" s="95"/>
      <c r="K52" s="92"/>
      <c r="L52" s="95"/>
      <c r="M52" s="95"/>
      <c r="N52" s="95"/>
      <c r="O52" s="95"/>
      <c r="P52" s="95"/>
      <c r="Q52" s="95"/>
      <c r="R52" s="95"/>
      <c r="S52" s="95"/>
      <c r="T52" s="95"/>
      <c r="U52" s="95"/>
      <c r="V52" s="95"/>
      <c r="W52" s="95"/>
      <c r="X52" s="95"/>
      <c r="Y52" s="95"/>
      <c r="Z52" s="95"/>
      <c r="AA52" s="95"/>
      <c r="AB52" s="40"/>
      <c r="AC52" s="40"/>
      <c r="AD52" s="40"/>
      <c r="AE52" s="40"/>
      <c r="AF52" s="40"/>
      <c r="AG52" s="40"/>
      <c r="AH52" s="40"/>
      <c r="AI52" s="40"/>
      <c r="AJ52" s="40"/>
      <c r="AK52" s="40"/>
      <c r="AL52" s="40"/>
      <c r="AM52" s="40"/>
      <c r="AN52" s="40"/>
      <c r="AO52" s="40"/>
      <c r="AP52" s="40"/>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row>
    <row r="53" spans="1:141">
      <c r="A53" s="39"/>
      <c r="B53" s="39"/>
      <c r="C53" s="39"/>
      <c r="D53" s="40"/>
      <c r="E53" s="95"/>
      <c r="F53" s="95"/>
      <c r="G53" s="95"/>
      <c r="H53" s="95"/>
      <c r="I53" s="95"/>
      <c r="J53" s="95"/>
      <c r="K53" s="92"/>
      <c r="L53" s="95"/>
      <c r="M53" s="95"/>
      <c r="N53" s="95"/>
      <c r="O53" s="95"/>
      <c r="P53" s="95"/>
      <c r="Q53" s="95"/>
      <c r="R53" s="95"/>
      <c r="S53" s="95"/>
      <c r="T53" s="95"/>
      <c r="U53" s="95"/>
      <c r="V53" s="95"/>
      <c r="W53" s="95"/>
      <c r="X53" s="95"/>
      <c r="Y53" s="95"/>
      <c r="Z53" s="95"/>
      <c r="AA53" s="95"/>
      <c r="AB53" s="40"/>
      <c r="AC53" s="40"/>
      <c r="AD53" s="40"/>
      <c r="AE53" s="40"/>
      <c r="AF53" s="40"/>
      <c r="AG53" s="40"/>
      <c r="AH53" s="40"/>
      <c r="AI53" s="40"/>
      <c r="AJ53" s="40"/>
      <c r="AK53" s="40"/>
      <c r="AL53" s="40"/>
      <c r="AM53" s="40"/>
      <c r="AN53" s="40"/>
      <c r="AO53" s="40"/>
      <c r="AP53" s="40"/>
    </row>
    <row r="54" spans="1:141">
      <c r="A54" s="39"/>
      <c r="B54" s="39"/>
      <c r="C54" s="39"/>
      <c r="D54" s="40"/>
      <c r="E54" s="95"/>
      <c r="F54" s="95"/>
      <c r="G54" s="95"/>
      <c r="H54" s="95"/>
      <c r="I54" s="95"/>
      <c r="J54" s="95"/>
      <c r="K54" s="92"/>
      <c r="L54" s="95"/>
      <c r="M54" s="95"/>
      <c r="N54" s="95"/>
      <c r="O54" s="95"/>
      <c r="P54" s="95"/>
      <c r="Q54" s="95"/>
      <c r="R54" s="95"/>
      <c r="S54" s="95"/>
      <c r="T54" s="95"/>
      <c r="U54" s="95"/>
      <c r="V54" s="95"/>
      <c r="W54" s="95"/>
      <c r="X54" s="95"/>
      <c r="Y54" s="95"/>
      <c r="Z54" s="95"/>
      <c r="AA54" s="95"/>
      <c r="AB54" s="40"/>
      <c r="AC54" s="40"/>
      <c r="AD54" s="40"/>
      <c r="AE54" s="40"/>
      <c r="AF54" s="40"/>
      <c r="AG54" s="40"/>
      <c r="AH54" s="40"/>
      <c r="AI54" s="40"/>
      <c r="AJ54" s="40"/>
      <c r="AK54" s="40"/>
      <c r="AL54" s="40"/>
      <c r="AM54" s="40"/>
      <c r="AN54" s="40"/>
      <c r="AO54" s="40"/>
      <c r="AP54" s="40"/>
    </row>
    <row r="55" spans="1:141">
      <c r="A55" s="39"/>
      <c r="B55" s="39"/>
      <c r="C55" s="39"/>
      <c r="D55" s="40"/>
      <c r="E55" s="40"/>
      <c r="F55" s="40"/>
      <c r="G55" s="40"/>
      <c r="H55" s="40"/>
      <c r="I55" s="40"/>
      <c r="J55" s="40"/>
      <c r="K55" s="92"/>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row>
    <row r="56" spans="1:141">
      <c r="A56" s="39"/>
      <c r="B56" s="39"/>
      <c r="C56" s="39"/>
      <c r="D56" s="40"/>
      <c r="E56" s="95"/>
      <c r="F56" s="95"/>
      <c r="G56" s="95"/>
      <c r="H56" s="95"/>
      <c r="I56" s="95"/>
      <c r="J56" s="95"/>
      <c r="K56" s="92"/>
      <c r="L56" s="95"/>
      <c r="M56" s="95"/>
      <c r="N56" s="95"/>
      <c r="O56" s="95"/>
      <c r="P56" s="95"/>
      <c r="Q56" s="95"/>
      <c r="R56" s="95"/>
      <c r="S56" s="95"/>
      <c r="T56" s="95"/>
      <c r="U56" s="95"/>
      <c r="V56" s="95"/>
      <c r="W56" s="95"/>
      <c r="X56" s="95"/>
      <c r="Y56" s="95"/>
      <c r="Z56" s="95"/>
      <c r="AA56" s="95"/>
      <c r="AB56" s="40"/>
      <c r="AC56" s="40"/>
      <c r="AD56" s="40"/>
      <c r="AE56" s="40"/>
      <c r="AF56" s="40"/>
      <c r="AG56" s="40"/>
      <c r="AH56" s="40"/>
      <c r="AI56" s="40"/>
      <c r="AJ56" s="40"/>
      <c r="AK56" s="40"/>
      <c r="AL56" s="40"/>
      <c r="AM56" s="40"/>
      <c r="AN56" s="40"/>
      <c r="AO56" s="40"/>
      <c r="AP56" s="40"/>
    </row>
    <row r="57" spans="1:141">
      <c r="A57" s="39"/>
      <c r="B57" s="39"/>
      <c r="C57" s="39"/>
      <c r="D57" s="40"/>
      <c r="E57" s="96"/>
      <c r="F57" s="96"/>
      <c r="G57" s="96"/>
      <c r="H57" s="96"/>
      <c r="I57" s="96"/>
      <c r="J57" s="96"/>
      <c r="K57" s="92"/>
      <c r="L57" s="96"/>
      <c r="M57" s="96"/>
      <c r="N57" s="96"/>
      <c r="O57" s="96"/>
      <c r="P57" s="96"/>
      <c r="Q57" s="96"/>
      <c r="R57" s="96"/>
      <c r="S57" s="96"/>
      <c r="T57" s="96"/>
      <c r="U57" s="96"/>
      <c r="V57" s="96"/>
      <c r="W57" s="96"/>
      <c r="X57" s="96"/>
      <c r="Y57" s="96"/>
      <c r="Z57" s="96"/>
      <c r="AA57" s="96"/>
      <c r="AB57" s="40"/>
      <c r="AC57" s="40"/>
      <c r="AD57" s="40"/>
      <c r="AE57" s="40"/>
      <c r="AF57" s="40"/>
      <c r="AG57" s="40"/>
      <c r="AH57" s="40"/>
      <c r="AI57" s="40"/>
      <c r="AJ57" s="40"/>
      <c r="AK57" s="40"/>
      <c r="AL57" s="40"/>
      <c r="AM57" s="40"/>
      <c r="AN57" s="40"/>
      <c r="AO57" s="40"/>
      <c r="AP57" s="40"/>
    </row>
    <row r="58" spans="1:141">
      <c r="A58" s="39"/>
      <c r="B58" s="39"/>
      <c r="C58" s="39"/>
      <c r="D58" s="40"/>
      <c r="E58" s="96"/>
      <c r="F58" s="96"/>
      <c r="G58" s="96"/>
      <c r="H58" s="96"/>
      <c r="I58" s="96"/>
      <c r="J58" s="96"/>
      <c r="K58" s="92"/>
      <c r="L58" s="96"/>
      <c r="M58" s="96"/>
      <c r="N58" s="96"/>
      <c r="O58" s="96"/>
      <c r="P58" s="96"/>
      <c r="Q58" s="96"/>
      <c r="R58" s="96"/>
      <c r="S58" s="96"/>
      <c r="T58" s="96"/>
      <c r="U58" s="96"/>
      <c r="V58" s="96"/>
      <c r="W58" s="96"/>
      <c r="X58" s="96"/>
      <c r="Y58" s="96"/>
      <c r="Z58" s="96"/>
      <c r="AA58" s="96"/>
      <c r="AB58" s="40"/>
      <c r="AC58" s="40"/>
      <c r="AD58" s="40"/>
      <c r="AE58" s="40"/>
      <c r="AF58" s="40"/>
      <c r="AG58" s="40"/>
      <c r="AH58" s="40"/>
      <c r="AI58" s="40"/>
      <c r="AJ58" s="40"/>
      <c r="AK58" s="40"/>
      <c r="AL58" s="40"/>
      <c r="AM58" s="40"/>
      <c r="AN58" s="40"/>
      <c r="AO58" s="40"/>
      <c r="AP58" s="40"/>
    </row>
    <row r="59" spans="1:141">
      <c r="A59" s="39"/>
      <c r="B59" s="39"/>
      <c r="C59" s="39"/>
      <c r="D59" s="40"/>
      <c r="E59" s="40"/>
      <c r="F59" s="40"/>
      <c r="G59" s="40"/>
      <c r="H59" s="40"/>
      <c r="I59" s="40"/>
      <c r="J59" s="40"/>
      <c r="K59" s="92"/>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row>
    <row r="60" spans="1:141">
      <c r="A60" s="39"/>
      <c r="B60" s="39"/>
      <c r="C60" s="39"/>
      <c r="D60" s="40"/>
      <c r="E60" s="95"/>
      <c r="F60" s="95"/>
      <c r="G60" s="95"/>
      <c r="H60" s="95"/>
      <c r="I60" s="95"/>
      <c r="J60" s="95"/>
      <c r="K60" s="97"/>
      <c r="L60" s="95"/>
      <c r="M60" s="95"/>
      <c r="N60" s="95"/>
      <c r="O60" s="95"/>
      <c r="P60" s="95"/>
      <c r="Q60" s="95"/>
      <c r="R60" s="95"/>
      <c r="S60" s="95"/>
      <c r="T60" s="95"/>
      <c r="U60" s="95"/>
      <c r="V60" s="95"/>
      <c r="W60" s="95"/>
      <c r="X60" s="95"/>
      <c r="Y60" s="95"/>
      <c r="Z60" s="95"/>
      <c r="AA60" s="95"/>
      <c r="AB60" s="40"/>
      <c r="AC60" s="40"/>
      <c r="AD60" s="40"/>
      <c r="AE60" s="40"/>
      <c r="AF60" s="40"/>
      <c r="AG60" s="40"/>
      <c r="AH60" s="40"/>
      <c r="AI60" s="40"/>
      <c r="AJ60" s="40"/>
      <c r="AK60" s="40"/>
      <c r="AL60" s="40"/>
      <c r="AM60" s="40"/>
      <c r="AN60" s="40"/>
      <c r="AO60" s="40"/>
      <c r="AP60" s="40"/>
    </row>
    <row r="61" spans="1:141">
      <c r="A61" s="39"/>
      <c r="B61" s="39"/>
      <c r="C61" s="39"/>
      <c r="D61" s="40"/>
      <c r="E61" s="95"/>
      <c r="F61" s="95"/>
      <c r="G61" s="95"/>
      <c r="H61" s="95"/>
      <c r="I61" s="95"/>
      <c r="J61" s="95"/>
      <c r="K61" s="92"/>
      <c r="L61" s="95"/>
      <c r="M61" s="95"/>
      <c r="N61" s="95"/>
      <c r="O61" s="95"/>
      <c r="P61" s="95"/>
      <c r="Q61" s="95"/>
      <c r="R61" s="95"/>
      <c r="S61" s="95"/>
      <c r="T61" s="95"/>
      <c r="U61" s="95"/>
      <c r="V61" s="95"/>
      <c r="W61" s="95"/>
      <c r="X61" s="95"/>
      <c r="Y61" s="95"/>
      <c r="Z61" s="95"/>
      <c r="AA61" s="95"/>
      <c r="AB61" s="40"/>
      <c r="AC61" s="40"/>
      <c r="AD61" s="40"/>
      <c r="AE61" s="40"/>
      <c r="AF61" s="40"/>
      <c r="AG61" s="40"/>
      <c r="AH61" s="40"/>
      <c r="AI61" s="40"/>
      <c r="AJ61" s="40"/>
      <c r="AK61" s="40"/>
      <c r="AL61" s="40"/>
      <c r="AM61" s="40"/>
      <c r="AN61" s="40"/>
      <c r="AO61" s="40"/>
      <c r="AP61" s="40"/>
    </row>
    <row r="62" spans="1:141">
      <c r="A62" s="39"/>
      <c r="B62" s="39"/>
      <c r="C62" s="39"/>
      <c r="D62" s="40"/>
      <c r="E62" s="40"/>
      <c r="F62" s="40"/>
      <c r="G62" s="40"/>
      <c r="H62" s="40"/>
      <c r="I62" s="40"/>
      <c r="J62" s="40"/>
      <c r="K62" s="92"/>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row>
    <row r="63" spans="1:141">
      <c r="A63" s="39"/>
      <c r="B63" s="39"/>
      <c r="C63" s="39"/>
      <c r="D63" s="40"/>
      <c r="E63" s="40"/>
      <c r="F63" s="40"/>
      <c r="G63" s="40"/>
      <c r="H63" s="40"/>
      <c r="I63" s="40"/>
      <c r="J63" s="40"/>
      <c r="K63" s="92"/>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row>
    <row r="64" spans="1:141">
      <c r="A64" s="39"/>
      <c r="B64" s="39"/>
      <c r="C64" s="39"/>
      <c r="D64" s="40"/>
      <c r="E64" s="40"/>
      <c r="F64" s="40"/>
      <c r="G64" s="40"/>
      <c r="H64" s="40"/>
      <c r="I64" s="40"/>
      <c r="J64" s="40"/>
      <c r="K64" s="92"/>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row>
  </sheetData>
  <printOptions horizontalCentered="1"/>
  <pageMargins left="0.25" right="0.25" top="0.5" bottom="0.75" header="0" footer="0.3"/>
  <pageSetup scale="75" fitToWidth="0" fitToHeight="0" orientation="portrait" r:id="rId1"/>
  <headerFooter scaleWithDoc="0" alignWithMargins="0">
    <oddFooter>&amp;R&amp;"Times New Roman,Regular"&amp;9 26678.897\4829-5163-7600.v1</oddFooter>
  </headerFooter>
  <colBreaks count="5" manualBreakCount="5">
    <brk id="7" max="42" man="1"/>
    <brk id="12" max="42" man="1"/>
    <brk id="16" max="42" man="1"/>
    <brk id="20" max="42" man="1"/>
    <brk id="25"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4"/>
  <sheetViews>
    <sheetView zoomScaleNormal="100" workbookViewId="0"/>
  </sheetViews>
  <sheetFormatPr defaultColWidth="9.140625" defaultRowHeight="15"/>
  <cols>
    <col min="1" max="1" width="5.5703125" style="915" customWidth="1"/>
    <col min="2" max="2" width="34.5703125" style="915" customWidth="1"/>
    <col min="3" max="3" width="5.5703125" style="915" customWidth="1"/>
    <col min="4" max="4" width="16.140625" style="915" customWidth="1"/>
    <col min="5" max="5" width="5.5703125" style="915" customWidth="1"/>
    <col min="6" max="6" width="16.140625" style="915" customWidth="1"/>
    <col min="7" max="7" width="5.5703125" style="915" customWidth="1"/>
    <col min="8" max="8" width="16.140625" style="915" customWidth="1"/>
    <col min="9" max="9" width="5.5703125" style="915" customWidth="1"/>
    <col min="10" max="16384" width="9.140625" style="915"/>
  </cols>
  <sheetData>
    <row r="1" spans="1:8">
      <c r="A1" s="1114" t="s">
        <v>53</v>
      </c>
    </row>
    <row r="2" spans="1:8">
      <c r="A2" s="1115" t="s">
        <v>2293</v>
      </c>
    </row>
    <row r="3" spans="1:8">
      <c r="A3" s="1116" t="s">
        <v>971</v>
      </c>
      <c r="F3" s="963"/>
    </row>
    <row r="4" spans="1:8">
      <c r="D4" s="1165"/>
      <c r="E4" s="1165"/>
      <c r="F4" s="1166"/>
      <c r="G4" s="1165"/>
      <c r="H4" s="1165"/>
    </row>
    <row r="5" spans="1:8">
      <c r="D5" s="1165"/>
      <c r="E5" s="1165"/>
      <c r="F5" s="1166"/>
      <c r="G5" s="1165"/>
      <c r="H5" s="1165" t="s">
        <v>2272</v>
      </c>
    </row>
    <row r="6" spans="1:8">
      <c r="D6" s="1167" t="s">
        <v>2263</v>
      </c>
      <c r="E6" s="1165"/>
      <c r="F6" s="1167" t="s">
        <v>2161</v>
      </c>
      <c r="G6" s="1165"/>
      <c r="H6" s="1167" t="s">
        <v>55</v>
      </c>
    </row>
    <row r="8" spans="1:8">
      <c r="B8" s="915" t="s">
        <v>2264</v>
      </c>
      <c r="C8" s="926" t="s">
        <v>2235</v>
      </c>
      <c r="D8" s="925">
        <f>+'MPP-6 - Plant Additions'!X208</f>
        <v>18072319.657660004</v>
      </c>
      <c r="E8" s="926" t="s">
        <v>2236</v>
      </c>
      <c r="F8" s="925">
        <f>+'[10]PC-45 Response'!$E$73+'[10]PC-45 Response'!$E$74</f>
        <v>4795618.9400000004</v>
      </c>
      <c r="H8" s="925">
        <f>+F8-D8</f>
        <v>-13276700.717660002</v>
      </c>
    </row>
    <row r="10" spans="1:8">
      <c r="B10" s="915" t="s">
        <v>2265</v>
      </c>
      <c r="D10" s="965">
        <f>+'Pro Forma Plant Additions'!C11</f>
        <v>1.1681678480842181E-2</v>
      </c>
      <c r="F10" s="966">
        <f>++D10</f>
        <v>1.1681678480842181E-2</v>
      </c>
    </row>
    <row r="11" spans="1:8">
      <c r="B11" s="915" t="s">
        <v>2267</v>
      </c>
      <c r="D11" s="925">
        <f>+D8*D10</f>
        <v>211115.02764378799</v>
      </c>
      <c r="F11" s="925">
        <f>+F8*F10</f>
        <v>56020.878573717193</v>
      </c>
      <c r="H11" s="925">
        <f>+F11-D11</f>
        <v>-155094.14907007079</v>
      </c>
    </row>
    <row r="13" spans="1:8">
      <c r="B13" s="915" t="s">
        <v>2266</v>
      </c>
      <c r="D13" s="965">
        <f>+'MPP-6 - Plant Additions'!Y227</f>
        <v>2.2733835732428501E-2</v>
      </c>
      <c r="F13" s="965">
        <f>+'MPP-6 - Plant Additions'!Y217/100</f>
        <v>1.2500000000000001E-2</v>
      </c>
    </row>
    <row r="14" spans="1:8">
      <c r="B14" s="915" t="s">
        <v>284</v>
      </c>
      <c r="D14" s="925">
        <f>+D8*D13</f>
        <v>410853.146401181</v>
      </c>
      <c r="F14" s="925">
        <f>+F8*F13</f>
        <v>59945.236750000011</v>
      </c>
      <c r="H14" s="925">
        <f>+F14-D14</f>
        <v>-350907.90965118096</v>
      </c>
    </row>
    <row r="16" spans="1:8">
      <c r="B16" s="915" t="s">
        <v>380</v>
      </c>
      <c r="D16" s="925">
        <f>+D14/2</f>
        <v>205426.5732005905</v>
      </c>
      <c r="F16" s="925">
        <f>+F14/2</f>
        <v>29972.618375000005</v>
      </c>
      <c r="H16" s="925">
        <f>+F16-D16</f>
        <v>-175453.95482559048</v>
      </c>
    </row>
    <row r="18" spans="2:8">
      <c r="B18" s="915" t="s">
        <v>2269</v>
      </c>
      <c r="D18" s="967">
        <v>3.7499999999999999E-2</v>
      </c>
      <c r="F18" s="967">
        <v>3.7499999999999999E-2</v>
      </c>
    </row>
    <row r="19" spans="2:8">
      <c r="B19" s="915" t="s">
        <v>2270</v>
      </c>
      <c r="D19" s="925">
        <f>+D18*D8</f>
        <v>677711.98716225009</v>
      </c>
      <c r="F19" s="925">
        <f>+F18*F8</f>
        <v>179835.71025</v>
      </c>
      <c r="H19" s="925">
        <f>+F19-D19</f>
        <v>-497876.27691225009</v>
      </c>
    </row>
    <row r="21" spans="2:8">
      <c r="B21" s="915" t="s">
        <v>2268</v>
      </c>
      <c r="D21" s="925">
        <f>+D19/2</f>
        <v>338855.99358112505</v>
      </c>
      <c r="F21" s="925">
        <f>+F19/2</f>
        <v>89917.855125000002</v>
      </c>
      <c r="H21" s="925">
        <f>+F21-D21</f>
        <v>-248938.13845612505</v>
      </c>
    </row>
    <row r="23" spans="2:8">
      <c r="B23" s="915" t="s">
        <v>2271</v>
      </c>
      <c r="D23" s="925">
        <f>+D21-D16</f>
        <v>133429.42038053455</v>
      </c>
      <c r="F23" s="925">
        <f>+F21-F16</f>
        <v>59945.236749999996</v>
      </c>
      <c r="H23" s="925">
        <f>+F23-D23</f>
        <v>-73484.18363053455</v>
      </c>
    </row>
    <row r="25" spans="2:8">
      <c r="B25" s="915" t="s">
        <v>2292</v>
      </c>
      <c r="D25" s="925">
        <f>+D23*0.35</f>
        <v>46700.297133187087</v>
      </c>
      <c r="F25" s="925">
        <f>+F23*0.35</f>
        <v>20980.832862499996</v>
      </c>
      <c r="H25" s="925">
        <f>+F25-D25</f>
        <v>-25719.464270687091</v>
      </c>
    </row>
    <row r="27" spans="2:8">
      <c r="B27" s="915" t="s">
        <v>2274</v>
      </c>
      <c r="D27" s="925">
        <f>+D11+D14</f>
        <v>621968.17404496903</v>
      </c>
      <c r="F27" s="925">
        <f>+F11+F14</f>
        <v>115966.11532371721</v>
      </c>
      <c r="H27" s="925">
        <f>+F27-D27</f>
        <v>-506002.05872125179</v>
      </c>
    </row>
    <row r="28" spans="2:8">
      <c r="B28" s="915" t="s">
        <v>35</v>
      </c>
      <c r="D28" s="925">
        <f>+D8-D16-D25</f>
        <v>17820192.787326224</v>
      </c>
      <c r="F28" s="925">
        <f>+F8-F16-F25</f>
        <v>4744665.4887625007</v>
      </c>
      <c r="H28" s="925">
        <f>+F28-D28</f>
        <v>-13075527.298563723</v>
      </c>
    </row>
    <row r="32" spans="2:8">
      <c r="B32" s="964" t="s">
        <v>1378</v>
      </c>
      <c r="C32" s="964"/>
      <c r="D32" s="964"/>
      <c r="E32" s="964"/>
      <c r="F32" s="964"/>
    </row>
    <row r="33" spans="2:2">
      <c r="B33" s="915" t="s">
        <v>2273</v>
      </c>
    </row>
    <row r="34" spans="2:2">
      <c r="B34" s="915" t="s">
        <v>2291</v>
      </c>
    </row>
  </sheetData>
  <pageMargins left="0.7" right="0.7" top="0.75" bottom="0.75" header="0.3" footer="0.3"/>
  <pageSetup scale="75" orientation="portrait" r:id="rId1"/>
  <headerFooter>
    <oddFooter>&amp;R&amp;"Times New Roman,Regular"&amp;9 26678.897\4829-5163-7600.v1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7"/>
  <sheetViews>
    <sheetView zoomScaleNormal="100" workbookViewId="0"/>
  </sheetViews>
  <sheetFormatPr defaultColWidth="9.140625" defaultRowHeight="15"/>
  <cols>
    <col min="1" max="1" width="2.7109375" style="970" customWidth="1"/>
    <col min="2" max="2" width="9.140625" style="915"/>
    <col min="3" max="3" width="2.7109375" style="915" customWidth="1"/>
    <col min="4" max="4" width="20.42578125" style="915" customWidth="1"/>
    <col min="5" max="5" width="2.7109375" style="915" customWidth="1"/>
    <col min="6" max="7" width="20.42578125" style="915" customWidth="1"/>
    <col min="8" max="8" width="2.7109375" style="915" customWidth="1"/>
    <col min="9" max="9" width="20.42578125" style="915" customWidth="1"/>
    <col min="10" max="10" width="2.7109375" style="915" customWidth="1"/>
    <col min="11" max="11" width="12.5703125" style="915" bestFit="1" customWidth="1"/>
    <col min="12" max="16384" width="9.140625" style="915"/>
  </cols>
  <sheetData>
    <row r="1" spans="1:10">
      <c r="A1" s="1114" t="s">
        <v>53</v>
      </c>
      <c r="B1" s="968"/>
      <c r="C1" s="968"/>
      <c r="D1" s="968"/>
      <c r="E1" s="968"/>
      <c r="F1" s="968"/>
      <c r="G1" s="968"/>
      <c r="H1" s="968"/>
      <c r="I1" s="968"/>
      <c r="J1" s="1119"/>
    </row>
    <row r="2" spans="1:10">
      <c r="A2" s="1115" t="s">
        <v>2294</v>
      </c>
      <c r="B2" s="968"/>
      <c r="C2" s="968"/>
      <c r="D2" s="968"/>
      <c r="E2" s="968"/>
      <c r="F2" s="968"/>
      <c r="G2" s="968"/>
      <c r="H2" s="968"/>
      <c r="I2" s="968"/>
      <c r="J2" s="1119"/>
    </row>
    <row r="3" spans="1:10">
      <c r="A3" s="1116" t="s">
        <v>971</v>
      </c>
      <c r="B3" s="968"/>
      <c r="C3" s="968"/>
      <c r="D3" s="968"/>
      <c r="E3" s="968"/>
      <c r="F3" s="968"/>
      <c r="G3" s="968"/>
      <c r="H3" s="968"/>
      <c r="I3" s="968"/>
      <c r="J3" s="1119"/>
    </row>
    <row r="4" spans="1:10">
      <c r="B4" s="968"/>
      <c r="C4" s="968"/>
      <c r="D4" s="968"/>
      <c r="E4" s="968"/>
      <c r="F4" s="968"/>
      <c r="G4" s="968"/>
      <c r="H4" s="968"/>
      <c r="I4" s="968"/>
      <c r="J4" s="1119"/>
    </row>
    <row r="5" spans="1:10">
      <c r="B5" s="968"/>
      <c r="C5" s="968"/>
      <c r="D5" s="968"/>
      <c r="E5" s="968"/>
      <c r="F5" s="968"/>
      <c r="G5" s="968"/>
      <c r="H5" s="968"/>
      <c r="I5" s="968"/>
      <c r="J5" s="1119"/>
    </row>
    <row r="6" spans="1:10">
      <c r="F6" s="1119"/>
      <c r="G6" s="1119"/>
      <c r="H6" s="1119"/>
      <c r="I6" s="1119"/>
      <c r="J6" s="1119"/>
    </row>
    <row r="7" spans="1:10" s="970" customFormat="1">
      <c r="D7" s="970" t="s">
        <v>1689</v>
      </c>
      <c r="F7" s="970" t="s">
        <v>1687</v>
      </c>
      <c r="G7" s="970" t="s">
        <v>1688</v>
      </c>
      <c r="I7" s="970" t="s">
        <v>1691</v>
      </c>
    </row>
    <row r="8" spans="1:10">
      <c r="A8" s="915"/>
      <c r="B8" s="1174" t="s">
        <v>879</v>
      </c>
      <c r="C8" s="1168"/>
      <c r="D8" s="964" t="s">
        <v>2299</v>
      </c>
      <c r="F8" s="1173" t="s">
        <v>2089</v>
      </c>
      <c r="G8" s="1173">
        <v>2016</v>
      </c>
      <c r="H8" s="970"/>
      <c r="I8" s="1174" t="s">
        <v>2040</v>
      </c>
    </row>
    <row r="9" spans="1:10">
      <c r="A9" s="915"/>
      <c r="B9" s="970">
        <v>1</v>
      </c>
      <c r="C9" s="970"/>
      <c r="D9" s="915" t="s">
        <v>887</v>
      </c>
      <c r="F9" s="1169">
        <v>27313.75</v>
      </c>
      <c r="G9" s="1169">
        <v>5656.8</v>
      </c>
      <c r="I9" s="1170">
        <f>+AVERAGE(F9:G9)</f>
        <v>16485.275000000001</v>
      </c>
    </row>
    <row r="10" spans="1:10">
      <c r="A10" s="915"/>
      <c r="B10" s="970">
        <v>2</v>
      </c>
      <c r="C10" s="970"/>
      <c r="D10" s="915" t="s">
        <v>96</v>
      </c>
      <c r="F10" s="1169">
        <v>219901.15</v>
      </c>
      <c r="G10" s="1169">
        <v>66715.92</v>
      </c>
      <c r="I10" s="1170">
        <f>+AVERAGE(F10:G10)</f>
        <v>143308.535</v>
      </c>
    </row>
    <row r="11" spans="1:10">
      <c r="A11" s="915"/>
      <c r="B11" s="970">
        <v>3</v>
      </c>
      <c r="C11" s="970"/>
      <c r="D11" s="915" t="s">
        <v>97</v>
      </c>
      <c r="F11" s="1169">
        <v>51296.74</v>
      </c>
      <c r="G11" s="1169">
        <v>37260.18</v>
      </c>
      <c r="I11" s="1170">
        <f>+AVERAGE(F11:G11)</f>
        <v>44278.46</v>
      </c>
    </row>
    <row r="12" spans="1:10">
      <c r="A12" s="915"/>
      <c r="B12" s="970"/>
      <c r="C12" s="970"/>
      <c r="F12" s="1169"/>
      <c r="G12" s="1169"/>
    </row>
    <row r="13" spans="1:10">
      <c r="A13" s="915"/>
      <c r="B13" s="970">
        <v>4</v>
      </c>
      <c r="C13" s="970"/>
      <c r="D13" s="915" t="s">
        <v>98</v>
      </c>
      <c r="F13" s="1169">
        <f>SUM(F9:F12)</f>
        <v>298511.64</v>
      </c>
      <c r="G13" s="1169">
        <f>SUM(G9:G12)</f>
        <v>109632.9</v>
      </c>
      <c r="I13" s="1170">
        <f>SUM(I9:I11)</f>
        <v>204072.27</v>
      </c>
    </row>
    <row r="14" spans="1:10">
      <c r="A14" s="915"/>
      <c r="B14" s="970">
        <v>5</v>
      </c>
      <c r="C14" s="970"/>
      <c r="F14" s="915" t="s">
        <v>1103</v>
      </c>
      <c r="I14" s="1171">
        <f>+G13</f>
        <v>109632.9</v>
      </c>
    </row>
    <row r="15" spans="1:10" ht="15.75" thickBot="1">
      <c r="A15" s="915"/>
      <c r="B15" s="970">
        <v>6</v>
      </c>
      <c r="C15" s="970"/>
      <c r="D15" s="915" t="s">
        <v>55</v>
      </c>
      <c r="I15" s="1172">
        <f>+I13-I14</f>
        <v>94439.37</v>
      </c>
      <c r="J15" s="1170"/>
    </row>
    <row r="16" spans="1:10" ht="15.75" thickTop="1">
      <c r="A16" s="915"/>
      <c r="B16" s="970"/>
      <c r="C16" s="970"/>
    </row>
    <row r="17" spans="2:3">
      <c r="B17" s="970"/>
      <c r="C17" s="970"/>
    </row>
  </sheetData>
  <printOptions horizontalCentered="1"/>
  <pageMargins left="0.7" right="0.7" top="0.75" bottom="0.75" header="0.3" footer="0.3"/>
  <pageSetup scale="75" orientation="portrait" r:id="rId1"/>
  <headerFooter scaleWithDoc="0" alignWithMargins="0">
    <oddFooter>&amp;R&amp;"Times New Roman,Regular"&amp;9 26678.897\4829-5163-7600.v1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2018-03-23T07:00:00+00:00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AFCDB72-E2F2-4EF2-8BDB-E183E3FE89A2}">
  <ds:schemaRefs>
    <ds:schemaRef ds:uri="http://schemas.microsoft.com/sharepoint/v3/contenttype/forms"/>
  </ds:schemaRefs>
</ds:datastoreItem>
</file>

<file path=customXml/itemProps2.xml><?xml version="1.0" encoding="utf-8"?>
<ds:datastoreItem xmlns:ds="http://schemas.openxmlformats.org/officeDocument/2006/customXml" ds:itemID="{064A2B29-A8E0-4167-8219-9C750590245D}"/>
</file>

<file path=customXml/itemProps3.xml><?xml version="1.0" encoding="utf-8"?>
<ds:datastoreItem xmlns:ds="http://schemas.openxmlformats.org/officeDocument/2006/customXml" ds:itemID="{C6C74119-D346-4138-9C68-2C33E9BC7843}">
  <ds:schemaRefs>
    <ds:schemaRef ds:uri="http://purl.org/dc/elements/1.1/"/>
    <ds:schemaRef ds:uri="http://schemas.microsoft.com/office/2006/metadata/properties"/>
    <ds:schemaRef ds:uri="6a7bd91e-004b-490a-8704-e368d63d59a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93E6B27-E44E-4F71-8675-7E46523621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30</vt:i4>
      </vt:variant>
    </vt:vector>
  </HeadingPairs>
  <TitlesOfParts>
    <vt:vector size="69" baseType="lpstr">
      <vt:lpstr>Table 1</vt:lpstr>
      <vt:lpstr>1) Lead Sheet</vt:lpstr>
      <vt:lpstr>2) ROO Summary Sheet</vt:lpstr>
      <vt:lpstr>3) Rev Req Calc</vt:lpstr>
      <vt:lpstr>4) Conversion Factor</vt:lpstr>
      <vt:lpstr>5) Cost of Capital</vt:lpstr>
      <vt:lpstr>6) Adj Detail</vt:lpstr>
      <vt:lpstr>7) P-3 Pro Forma Capital</vt:lpstr>
      <vt:lpstr>8) P-4 Rate Case Costs</vt:lpstr>
      <vt:lpstr>9) TCJA-1 Restate Tax Expense</vt:lpstr>
      <vt:lpstr>10) TCJA-2 EDFIT</vt:lpstr>
      <vt:lpstr>11) TCJA-3 Deferral </vt:lpstr>
      <vt:lpstr>11) Deferral Amort</vt:lpstr>
      <vt:lpstr>Workpapers-&gt;</vt:lpstr>
      <vt:lpstr>Pro Forma Plant Additions</vt:lpstr>
      <vt:lpstr>Operating Report</vt:lpstr>
      <vt:lpstr>Rate Base</vt:lpstr>
      <vt:lpstr>Plant in Serv &amp; Accum Depr</vt:lpstr>
      <vt:lpstr>Adv for Const. &amp; Def Tax</vt:lpstr>
      <vt:lpstr>Working Capital</vt:lpstr>
      <vt:lpstr>State Allocation Formulas</vt:lpstr>
      <vt:lpstr>Adjustment Workpapers---&gt;</vt:lpstr>
      <vt:lpstr>Weather Normalization</vt:lpstr>
      <vt:lpstr>Advertising Adj</vt:lpstr>
      <vt:lpstr>Restate Revenues</vt:lpstr>
      <vt:lpstr>Low-Income Bill Assistance</vt:lpstr>
      <vt:lpstr>Interest Coord. Adj.</vt:lpstr>
      <vt:lpstr>Pro Forma Wage Adjustment</vt:lpstr>
      <vt:lpstr>Pro Forma Compliance Department</vt:lpstr>
      <vt:lpstr>MAOP UG-160787 Deferral</vt:lpstr>
      <vt:lpstr>Miscellaneous Charges</vt:lpstr>
      <vt:lpstr>CRM Adjustment (a)</vt:lpstr>
      <vt:lpstr>CRM Adjustment (b)</vt:lpstr>
      <vt:lpstr>Revenue Adjustment</vt:lpstr>
      <vt:lpstr>Working Capital Work Paper</vt:lpstr>
      <vt:lpstr>MPP-6 - Plant Additions</vt:lpstr>
      <vt:lpstr>MPP-6 - Supporting Explanations</vt:lpstr>
      <vt:lpstr>Liu Weather Normalization</vt:lpstr>
      <vt:lpstr>Liu Restate Rev WP</vt:lpstr>
      <vt:lpstr>'1) Lead Sheet'!Print_Area</vt:lpstr>
      <vt:lpstr>'11) Deferral Amort'!Print_Area</vt:lpstr>
      <vt:lpstr>'2) ROO Summary Sheet'!Print_Area</vt:lpstr>
      <vt:lpstr>'3) Rev Req Calc'!Print_Area</vt:lpstr>
      <vt:lpstr>'4) Conversion Factor'!Print_Area</vt:lpstr>
      <vt:lpstr>'5) Cost of Capital'!Print_Area</vt:lpstr>
      <vt:lpstr>'6) Adj Detail'!Print_Area</vt:lpstr>
      <vt:lpstr>'7) P-3 Pro Forma Capital'!Print_Area</vt:lpstr>
      <vt:lpstr>'CRM Adjustment (a)'!Print_Area</vt:lpstr>
      <vt:lpstr>'Liu Weather Normalization'!Print_Area</vt:lpstr>
      <vt:lpstr>'Miscellaneous Charges'!Print_Area</vt:lpstr>
      <vt:lpstr>'Operating Report'!Print_Area</vt:lpstr>
      <vt:lpstr>'Pro Forma Plant Additions'!Print_Area</vt:lpstr>
      <vt:lpstr>'Pro Forma Wage Adjustment'!Print_Area</vt:lpstr>
      <vt:lpstr>'Revenue Adjustment'!Print_Area</vt:lpstr>
      <vt:lpstr>'State Allocation Formulas'!Print_Area</vt:lpstr>
      <vt:lpstr>'Weather Normalization'!Print_Area</vt:lpstr>
      <vt:lpstr>'Working Capital Work Paper'!Print_Area</vt:lpstr>
      <vt:lpstr>'1) Lead Sheet'!Print_Titles</vt:lpstr>
      <vt:lpstr>'6) Adj Detail'!Print_Titles</vt:lpstr>
      <vt:lpstr>'Adv for Const. &amp; Def Tax'!Print_Titles</vt:lpstr>
      <vt:lpstr>'Advertising Adj'!Print_Titles</vt:lpstr>
      <vt:lpstr>'CRM Adjustment (b)'!Print_Titles</vt:lpstr>
      <vt:lpstr>'MPP-6 - Plant Additions'!Print_Titles</vt:lpstr>
      <vt:lpstr>'MPP-6 - Supporting Explanations'!Print_Titles</vt:lpstr>
      <vt:lpstr>'Operating Report'!Print_Titles</vt:lpstr>
      <vt:lpstr>'Plant in Serv &amp; Accum Depr'!Print_Titles</vt:lpstr>
      <vt:lpstr>'Pro Forma Wage Adjustment'!Print_Titles</vt:lpstr>
      <vt:lpstr>'Restate Revenues'!Print_Titles</vt:lpstr>
      <vt:lpstr>'Working Capital Work Paper'!Print_Titles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2018-02-15T15:56:55Z</cp:lastPrinted>
  <dcterms:created xsi:type="dcterms:W3CDTF">2014-12-11T21:48:04Z</dcterms:created>
  <dcterms:modified xsi:type="dcterms:W3CDTF">2018-03-23T20:51:56Z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CUS_DocIDActiveBits">
    <vt:lpwstr>1046528</vt:lpwstr>
  </property>
  <property fmtid="{D5CDD505-2E9C-101B-9397-08002B2CF9AE}" pid="5" name="CUS_DocIDLocation">
    <vt:lpwstr>EVERY_PAGE</vt:lpwstr>
  </property>
  <property fmtid="{D5CDD505-2E9C-101B-9397-08002B2CF9AE}" pid="6" name="CUS_DocIDPosition">
    <vt:lpwstr>Right</vt:lpwstr>
  </property>
  <property fmtid="{D5CDD505-2E9C-101B-9397-08002B2CF9AE}" pid="7" name="CUS_DocIDSheetRef">
    <vt:lpwstr>39</vt:lpwstr>
  </property>
  <property fmtid="{D5CDD505-2E9C-101B-9397-08002B2CF9AE}" pid="8" name="CUS_DocIDString">
    <vt:lpwstr>&amp;"Times New Roman,Regular"&amp;9 26678.897\4829-5163-7600.v1</vt:lpwstr>
  </property>
  <property fmtid="{D5CDD505-2E9C-101B-9397-08002B2CF9AE}" pid="9" name="CUS_DocIDChunk0">
    <vt:lpwstr>&amp;"Times New Roman,Regular"&amp;9</vt:lpwstr>
  </property>
  <property fmtid="{D5CDD505-2E9C-101B-9397-08002B2CF9AE}" pid="10" name="CUS_DocIDChunk1">
    <vt:lpwstr> 26678.897\4829-5163-7600.v1</vt:lpwstr>
  </property>
  <property fmtid="{D5CDD505-2E9C-101B-9397-08002B2CF9AE}" pid="11" name="IsEFSEC">
    <vt:bool>false</vt:bool>
  </property>
</Properties>
</file>