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comments1.xml" ContentType="application/vnd.openxmlformats-officedocument.spreadsheetml.comments+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96" windowWidth="27108" windowHeight="12504"/>
  </bookViews>
  <sheets>
    <sheet name="Exhibit JRD-3" sheetId="7" r:id="rId1"/>
    <sheet name="Price Forecast" sheetId="8" r:id="rId2"/>
    <sheet name="Incr Power Cost Summary" sheetId="3" r:id="rId3"/>
    <sheet name="Base Data" sheetId="1" r:id="rId4"/>
    <sheet name="Base with Jefferson County" sheetId="2" r:id="rId5"/>
    <sheet name="Portfolio Cost Comparison" sheetId="4" r:id="rId6"/>
    <sheet name="Build Comparison" sheetId="5" r:id="rId7"/>
    <sheet name="Revenue Req 1st 5yrs" sheetId="6" r:id="rId8"/>
  </sheets>
  <externalReferences>
    <externalReference r:id="rId9"/>
  </externalReferences>
  <definedNames>
    <definedName name="CaseDescription">[1]Assumptions!$A$2</definedName>
    <definedName name="DSR">'Base Data'!$R$20:$R$51</definedName>
    <definedName name="PreTaxWACC">[1]Assumptions!$O$24</definedName>
    <definedName name="_xlnm.Print_Area" localSheetId="6">'Build Comparison'!$E$18:$Z$51</definedName>
    <definedName name="_xlnm.Print_Area" localSheetId="2">'Incr Power Cost Summary'!$A$2:$K$25</definedName>
    <definedName name="solver_typ" localSheetId="5" hidden="1">2</definedName>
    <definedName name="solver_ver" localSheetId="5" hidden="1">12</definedName>
    <definedName name="StartDate">[1]Assumptions!$C$7</definedName>
    <definedName name="Title">[1]Assumptions!$A$1</definedName>
    <definedName name="TotalREC20">[1]LPProblem!$AX$32</definedName>
  </definedNames>
  <calcPr calcId="145621"/>
</workbook>
</file>

<file path=xl/calcChain.xml><?xml version="1.0" encoding="utf-8"?>
<calcChain xmlns="http://schemas.openxmlformats.org/spreadsheetml/2006/main">
  <c r="E28" i="7" l="1"/>
  <c r="D28" i="7"/>
  <c r="E27" i="7"/>
  <c r="D27" i="7"/>
  <c r="E26" i="7"/>
  <c r="D26" i="7"/>
  <c r="E25" i="7"/>
  <c r="D25" i="7"/>
  <c r="E24" i="7"/>
  <c r="D24" i="7"/>
  <c r="E23" i="7"/>
  <c r="D23" i="7"/>
  <c r="E22" i="7"/>
  <c r="D22" i="7"/>
  <c r="E21" i="7"/>
  <c r="D21" i="7"/>
  <c r="E20" i="7"/>
  <c r="D20" i="7"/>
  <c r="E19" i="7"/>
  <c r="D19" i="7"/>
  <c r="E18" i="7"/>
  <c r="D18" i="7"/>
  <c r="E17" i="7"/>
  <c r="D17" i="7"/>
  <c r="E16" i="7"/>
  <c r="D16" i="7"/>
  <c r="E15" i="7"/>
  <c r="D15" i="7"/>
  <c r="E14" i="7"/>
  <c r="D14" i="7"/>
  <c r="E13" i="7"/>
  <c r="D13" i="7"/>
  <c r="E12" i="7"/>
  <c r="D12" i="7"/>
  <c r="E11" i="7"/>
  <c r="D11" i="7"/>
  <c r="E10" i="7"/>
  <c r="D10" i="7"/>
  <c r="E9" i="7"/>
  <c r="D9" i="7"/>
  <c r="P17" i="8"/>
  <c r="R17" i="8"/>
  <c r="P18" i="8"/>
  <c r="Z8" i="8"/>
  <c r="V8" i="8"/>
  <c r="V27" i="8" l="1"/>
  <c r="Z27" i="8" s="1"/>
  <c r="V26" i="8"/>
  <c r="Z26" i="8" s="1"/>
  <c r="V25" i="8"/>
  <c r="Z25" i="8" s="1"/>
  <c r="V24" i="8"/>
  <c r="Z24" i="8" s="1"/>
  <c r="V23" i="8"/>
  <c r="Z23" i="8" s="1"/>
  <c r="V22" i="8"/>
  <c r="Z22" i="8" s="1"/>
  <c r="V21" i="8"/>
  <c r="Z21" i="8" s="1"/>
  <c r="V20" i="8"/>
  <c r="Z20" i="8" s="1"/>
  <c r="V19" i="8"/>
  <c r="Z19" i="8" s="1"/>
  <c r="V18" i="8"/>
  <c r="Z18" i="8" s="1"/>
  <c r="V17" i="8"/>
  <c r="Z17" i="8" s="1"/>
  <c r="V16" i="8"/>
  <c r="Z16" i="8" s="1"/>
  <c r="V15" i="8"/>
  <c r="Z15" i="8" s="1"/>
  <c r="V14" i="8"/>
  <c r="Z14" i="8" s="1"/>
  <c r="V13" i="8"/>
  <c r="Z13" i="8" s="1"/>
  <c r="V12" i="8"/>
  <c r="Z12" i="8" s="1"/>
  <c r="V11" i="8"/>
  <c r="Z11" i="8" s="1"/>
  <c r="V10" i="8"/>
  <c r="Z10" i="8" s="1"/>
  <c r="V9" i="8"/>
  <c r="Z9" i="8" s="1"/>
  <c r="J9" i="8" l="1"/>
  <c r="J8" i="8" l="1"/>
  <c r="B46" i="1" l="1"/>
  <c r="B45" i="1"/>
  <c r="B44" i="1"/>
  <c r="B43" i="1"/>
  <c r="B42" i="1"/>
  <c r="B41" i="1"/>
  <c r="B40" i="1"/>
  <c r="B39" i="1"/>
  <c r="W46" i="1"/>
  <c r="V46" i="1"/>
  <c r="U46" i="1"/>
  <c r="T46" i="1"/>
  <c r="S46" i="1"/>
  <c r="R46" i="1"/>
  <c r="Q46" i="1"/>
  <c r="P46" i="1"/>
  <c r="O46" i="1"/>
  <c r="N46" i="1"/>
  <c r="M46" i="1"/>
  <c r="L46" i="1"/>
  <c r="K46" i="1"/>
  <c r="J46" i="1"/>
  <c r="I46" i="1"/>
  <c r="H46" i="1"/>
  <c r="G46" i="1"/>
  <c r="F46" i="1"/>
  <c r="E46" i="1"/>
  <c r="W45" i="1"/>
  <c r="V45" i="1"/>
  <c r="U45" i="1"/>
  <c r="T45" i="1"/>
  <c r="S45" i="1"/>
  <c r="R45" i="1"/>
  <c r="Q45" i="1"/>
  <c r="P45" i="1"/>
  <c r="O45" i="1"/>
  <c r="N45" i="1"/>
  <c r="M45" i="1"/>
  <c r="L45" i="1"/>
  <c r="K45" i="1"/>
  <c r="J45" i="1"/>
  <c r="I45" i="1"/>
  <c r="H45" i="1"/>
  <c r="G45" i="1"/>
  <c r="F45" i="1"/>
  <c r="E45" i="1"/>
  <c r="W44" i="1"/>
  <c r="V44" i="1"/>
  <c r="U44" i="1"/>
  <c r="T44" i="1"/>
  <c r="S44" i="1"/>
  <c r="R44" i="1"/>
  <c r="Q44" i="1"/>
  <c r="P44" i="1"/>
  <c r="O44" i="1"/>
  <c r="N44" i="1"/>
  <c r="M44" i="1"/>
  <c r="L44" i="1"/>
  <c r="K44" i="1"/>
  <c r="J44" i="1"/>
  <c r="I44" i="1"/>
  <c r="H44" i="1"/>
  <c r="G44" i="1"/>
  <c r="F44" i="1"/>
  <c r="E44" i="1"/>
  <c r="W43" i="1"/>
  <c r="V43" i="1"/>
  <c r="U43" i="1"/>
  <c r="T43" i="1"/>
  <c r="S43" i="1"/>
  <c r="R43" i="1"/>
  <c r="Q43" i="1"/>
  <c r="P43" i="1"/>
  <c r="O43" i="1"/>
  <c r="N43" i="1"/>
  <c r="M43" i="1"/>
  <c r="L43" i="1"/>
  <c r="K43" i="1"/>
  <c r="J43" i="1"/>
  <c r="I43" i="1"/>
  <c r="H43" i="1"/>
  <c r="G43" i="1"/>
  <c r="F43" i="1"/>
  <c r="E43" i="1"/>
  <c r="W42" i="1"/>
  <c r="V42" i="1"/>
  <c r="U42" i="1"/>
  <c r="T42" i="1"/>
  <c r="S42" i="1"/>
  <c r="R42" i="1"/>
  <c r="Q42" i="1"/>
  <c r="P42" i="1"/>
  <c r="O42" i="1"/>
  <c r="N42" i="1"/>
  <c r="M42" i="1"/>
  <c r="L42" i="1"/>
  <c r="K42" i="1"/>
  <c r="J42" i="1"/>
  <c r="I42" i="1"/>
  <c r="H42" i="1"/>
  <c r="G42" i="1"/>
  <c r="F42" i="1"/>
  <c r="E42" i="1"/>
  <c r="W41" i="1"/>
  <c r="V41" i="1"/>
  <c r="U41" i="1"/>
  <c r="T41" i="1"/>
  <c r="S41" i="1"/>
  <c r="R41" i="1"/>
  <c r="Q41" i="1"/>
  <c r="P41" i="1"/>
  <c r="O41" i="1"/>
  <c r="N41" i="1"/>
  <c r="M41" i="1"/>
  <c r="L41" i="1"/>
  <c r="K41" i="1"/>
  <c r="J41" i="1"/>
  <c r="I41" i="1"/>
  <c r="H41" i="1"/>
  <c r="G41" i="1"/>
  <c r="F41" i="1"/>
  <c r="E41" i="1"/>
  <c r="W40" i="1"/>
  <c r="V40" i="1"/>
  <c r="U40" i="1"/>
  <c r="T40" i="1"/>
  <c r="S40" i="1"/>
  <c r="R40" i="1"/>
  <c r="Q40" i="1"/>
  <c r="P40" i="1"/>
  <c r="O40" i="1"/>
  <c r="N40" i="1"/>
  <c r="M40" i="1"/>
  <c r="L40" i="1"/>
  <c r="K40" i="1"/>
  <c r="J40" i="1"/>
  <c r="I40" i="1"/>
  <c r="H40" i="1"/>
  <c r="G40" i="1"/>
  <c r="F40" i="1"/>
  <c r="E40" i="1"/>
  <c r="W39" i="1"/>
  <c r="V39" i="1"/>
  <c r="U39" i="1"/>
  <c r="T39" i="1"/>
  <c r="S39" i="1"/>
  <c r="R39" i="1"/>
  <c r="Q39" i="1"/>
  <c r="P39" i="1"/>
  <c r="O39" i="1"/>
  <c r="N39" i="1"/>
  <c r="M39" i="1"/>
  <c r="L39" i="1"/>
  <c r="K39" i="1"/>
  <c r="J39" i="1"/>
  <c r="I39" i="1"/>
  <c r="H39" i="1"/>
  <c r="G39" i="1"/>
  <c r="F39" i="1"/>
  <c r="E39" i="1"/>
  <c r="D39" i="1"/>
  <c r="D40" i="1"/>
  <c r="D41" i="1"/>
  <c r="D42" i="1"/>
  <c r="D43" i="1"/>
  <c r="D44" i="1"/>
  <c r="D45" i="1"/>
  <c r="D46" i="1"/>
  <c r="P19" i="8" l="1"/>
  <c r="C29" i="8" l="1"/>
  <c r="C28" i="8"/>
  <c r="F29" i="8"/>
  <c r="D27" i="8"/>
  <c r="D26" i="8"/>
  <c r="G26" i="8"/>
  <c r="H26" i="8" s="1"/>
  <c r="D25" i="8"/>
  <c r="D24" i="8"/>
  <c r="G24" i="8"/>
  <c r="H24" i="8" s="1"/>
  <c r="D23" i="8"/>
  <c r="G22" i="8"/>
  <c r="H22" i="8" s="1"/>
  <c r="D22" i="8"/>
  <c r="D21" i="8"/>
  <c r="G21" i="8"/>
  <c r="H21" i="8" s="1"/>
  <c r="D20" i="8"/>
  <c r="G19" i="8"/>
  <c r="D19" i="8"/>
  <c r="G18" i="8"/>
  <c r="H18" i="8" s="1"/>
  <c r="D18" i="8"/>
  <c r="G17" i="8"/>
  <c r="D17" i="8"/>
  <c r="D16" i="8"/>
  <c r="G15" i="8"/>
  <c r="H15" i="8" s="1"/>
  <c r="D15" i="8"/>
  <c r="P14" i="8"/>
  <c r="P16" i="8" s="1"/>
  <c r="G14" i="8"/>
  <c r="H14" i="8" s="1"/>
  <c r="D14" i="8"/>
  <c r="D13" i="8"/>
  <c r="G12" i="8"/>
  <c r="H12" i="8" s="1"/>
  <c r="D12" i="8"/>
  <c r="D11" i="8"/>
  <c r="G11" i="8"/>
  <c r="H11" i="8" s="1"/>
  <c r="D10" i="8"/>
  <c r="G9" i="8"/>
  <c r="F28" i="8"/>
  <c r="D9" i="8"/>
  <c r="D29" i="8" s="1"/>
  <c r="H34" i="7"/>
  <c r="B28" i="7"/>
  <c r="B27" i="7"/>
  <c r="B26" i="7"/>
  <c r="B25" i="7"/>
  <c r="B24" i="7"/>
  <c r="B23" i="7"/>
  <c r="B22" i="7"/>
  <c r="B21" i="7"/>
  <c r="B20" i="7"/>
  <c r="B19" i="7"/>
  <c r="B18" i="7"/>
  <c r="B17" i="7"/>
  <c r="B16" i="7"/>
  <c r="B15" i="7"/>
  <c r="B14" i="7"/>
  <c r="B13" i="7"/>
  <c r="B12" i="7"/>
  <c r="B11" i="7"/>
  <c r="B10" i="7"/>
  <c r="B9" i="7"/>
  <c r="A10" i="7"/>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H17" i="8" l="1"/>
  <c r="H19" i="8"/>
  <c r="Q10" i="8"/>
  <c r="R10" i="8" s="1"/>
  <c r="Q12" i="8"/>
  <c r="R12" i="8"/>
  <c r="G13" i="8"/>
  <c r="H13" i="8" s="1"/>
  <c r="G16" i="8"/>
  <c r="H16" i="8" s="1"/>
  <c r="H9" i="8"/>
  <c r="Q9" i="8"/>
  <c r="G10" i="8"/>
  <c r="H10" i="8" s="1"/>
  <c r="Q11" i="8"/>
  <c r="R11" i="8" s="1"/>
  <c r="K8" i="8" s="1"/>
  <c r="K9" i="8" s="1"/>
  <c r="K10" i="8" s="1"/>
  <c r="K11" i="8" s="1"/>
  <c r="K12" i="8" s="1"/>
  <c r="K13" i="8" s="1"/>
  <c r="K14" i="8" s="1"/>
  <c r="K15" i="8" s="1"/>
  <c r="K16" i="8" s="1"/>
  <c r="K17" i="8" s="1"/>
  <c r="K18" i="8" s="1"/>
  <c r="K19" i="8" s="1"/>
  <c r="K20" i="8" s="1"/>
  <c r="K21" i="8" s="1"/>
  <c r="K22" i="8" s="1"/>
  <c r="K23" i="8" s="1"/>
  <c r="K24" i="8" s="1"/>
  <c r="K25" i="8" s="1"/>
  <c r="K26" i="8" s="1"/>
  <c r="K27" i="8" s="1"/>
  <c r="Q13" i="8"/>
  <c r="R13" i="8" s="1"/>
  <c r="G20" i="8"/>
  <c r="H20" i="8" s="1"/>
  <c r="G23" i="8"/>
  <c r="H23" i="8" s="1"/>
  <c r="G25" i="8"/>
  <c r="H25" i="8" s="1"/>
  <c r="G27" i="8"/>
  <c r="H27" i="8" s="1"/>
  <c r="D30" i="7"/>
  <c r="D31" i="7" s="1"/>
  <c r="J10" i="8" l="1"/>
  <c r="J11" i="8" s="1"/>
  <c r="J12" i="8" s="1"/>
  <c r="J13" i="8" s="1"/>
  <c r="J14" i="8" s="1"/>
  <c r="J15" i="8" s="1"/>
  <c r="J16" i="8" s="1"/>
  <c r="J17" i="8" s="1"/>
  <c r="J18" i="8" s="1"/>
  <c r="J19" i="8" s="1"/>
  <c r="J20" i="8" s="1"/>
  <c r="J21" i="8" s="1"/>
  <c r="J22" i="8" s="1"/>
  <c r="J23" i="8" s="1"/>
  <c r="J24" i="8" s="1"/>
  <c r="J25" i="8" s="1"/>
  <c r="J26" i="8" s="1"/>
  <c r="J27" i="8" s="1"/>
  <c r="Q14" i="8"/>
  <c r="R9" i="8"/>
  <c r="G29" i="8"/>
  <c r="H35" i="7"/>
  <c r="R14" i="8" l="1"/>
  <c r="H36" i="7"/>
  <c r="H38" i="7" s="1"/>
  <c r="L26" i="8" l="1"/>
  <c r="L24" i="8"/>
  <c r="L22" i="8"/>
  <c r="P20" i="8"/>
  <c r="L18" i="8"/>
  <c r="L16" i="8"/>
  <c r="L9" i="8"/>
  <c r="L20" i="8"/>
  <c r="L19" i="8"/>
  <c r="L15" i="8"/>
  <c r="L14" i="8"/>
  <c r="L17" i="8"/>
  <c r="L13" i="8"/>
  <c r="L11" i="8"/>
  <c r="L8" i="8"/>
  <c r="M9" i="8" s="1"/>
  <c r="D35" i="3"/>
  <c r="M17" i="8" l="1"/>
  <c r="Q18" i="7" s="1"/>
  <c r="M15" i="8"/>
  <c r="Q16" i="7" s="1"/>
  <c r="M20" i="8"/>
  <c r="Q21" i="7" s="1"/>
  <c r="Q10" i="7"/>
  <c r="L12" i="8"/>
  <c r="M12" i="8" s="1"/>
  <c r="Q13" i="7" s="1"/>
  <c r="L25" i="8"/>
  <c r="M25" i="8" s="1"/>
  <c r="Q26" i="7" s="1"/>
  <c r="L21" i="8"/>
  <c r="M21" i="8" s="1"/>
  <c r="Q22" i="7" s="1"/>
  <c r="L10" i="8"/>
  <c r="M10" i="8" s="1"/>
  <c r="Q11" i="7" s="1"/>
  <c r="L23" i="8"/>
  <c r="M23" i="8" s="1"/>
  <c r="Q24" i="7" s="1"/>
  <c r="L27" i="8"/>
  <c r="M27" i="8" s="1"/>
  <c r="Q28" i="7" s="1"/>
  <c r="P21" i="8"/>
  <c r="Q20" i="8"/>
  <c r="M14" i="8"/>
  <c r="Q15" i="7" s="1"/>
  <c r="M19" i="8"/>
  <c r="Q20" i="7" s="1"/>
  <c r="M16" i="8"/>
  <c r="Q17" i="7" s="1"/>
  <c r="M11" i="8"/>
  <c r="Q12" i="7" s="1"/>
  <c r="M18" i="8"/>
  <c r="Q19" i="7" s="1"/>
  <c r="F28" i="7"/>
  <c r="F27" i="7"/>
  <c r="F26" i="7"/>
  <c r="F25" i="7"/>
  <c r="F24" i="7"/>
  <c r="F23" i="7"/>
  <c r="F22" i="7"/>
  <c r="F21" i="7"/>
  <c r="F20" i="7"/>
  <c r="F19" i="7"/>
  <c r="F18" i="7"/>
  <c r="F17" i="7"/>
  <c r="F16" i="7"/>
  <c r="F15" i="7"/>
  <c r="F14" i="7"/>
  <c r="F13" i="7"/>
  <c r="F12" i="7"/>
  <c r="F11" i="7"/>
  <c r="E30" i="3"/>
  <c r="D31" i="3"/>
  <c r="E31" i="3" s="1"/>
  <c r="D30" i="3"/>
  <c r="E13" i="3"/>
  <c r="F13" i="3"/>
  <c r="G13" i="3"/>
  <c r="H13" i="3"/>
  <c r="I13" i="3"/>
  <c r="J13" i="3"/>
  <c r="K13" i="3"/>
  <c r="L13" i="3"/>
  <c r="M13" i="3"/>
  <c r="N13" i="3"/>
  <c r="O13" i="3"/>
  <c r="P13" i="3"/>
  <c r="Q13" i="3"/>
  <c r="R13" i="3"/>
  <c r="S13" i="3"/>
  <c r="T13" i="3"/>
  <c r="U13" i="3"/>
  <c r="V13" i="3"/>
  <c r="W13" i="3"/>
  <c r="D13" i="3"/>
  <c r="E5" i="3"/>
  <c r="F10" i="7" s="1"/>
  <c r="F5" i="3"/>
  <c r="G5" i="3"/>
  <c r="H5" i="3"/>
  <c r="I5" i="3"/>
  <c r="J5" i="3"/>
  <c r="K5" i="3"/>
  <c r="L5" i="3"/>
  <c r="M5" i="3"/>
  <c r="N5" i="3"/>
  <c r="O5" i="3"/>
  <c r="P5" i="3"/>
  <c r="Q5" i="3"/>
  <c r="R5" i="3"/>
  <c r="S5" i="3"/>
  <c r="T5" i="3"/>
  <c r="U5" i="3"/>
  <c r="V5" i="3"/>
  <c r="W5" i="3"/>
  <c r="E6" i="3"/>
  <c r="F6" i="3"/>
  <c r="G6" i="3"/>
  <c r="H6" i="3"/>
  <c r="I6" i="3"/>
  <c r="J6" i="3"/>
  <c r="K6" i="3"/>
  <c r="L6" i="3"/>
  <c r="M6" i="3"/>
  <c r="N6" i="3"/>
  <c r="O6" i="3"/>
  <c r="P6" i="3"/>
  <c r="Q6" i="3"/>
  <c r="R6" i="3"/>
  <c r="S6" i="3"/>
  <c r="T6" i="3"/>
  <c r="U6" i="3"/>
  <c r="V6" i="3"/>
  <c r="W6" i="3"/>
  <c r="D6" i="3"/>
  <c r="D5" i="3"/>
  <c r="F9" i="7" s="1"/>
  <c r="G21" i="6"/>
  <c r="H21" i="6"/>
  <c r="I21" i="6"/>
  <c r="J21" i="6"/>
  <c r="G22" i="6"/>
  <c r="H22" i="6"/>
  <c r="I22" i="6"/>
  <c r="J22" i="6"/>
  <c r="G23" i="6"/>
  <c r="H23" i="6"/>
  <c r="I23" i="6"/>
  <c r="J23" i="6"/>
  <c r="G24" i="6"/>
  <c r="H24" i="6"/>
  <c r="I24" i="6"/>
  <c r="J24" i="6"/>
  <c r="G25" i="6"/>
  <c r="H25" i="6"/>
  <c r="I25" i="6"/>
  <c r="J25" i="6"/>
  <c r="G26" i="6"/>
  <c r="H26" i="6"/>
  <c r="I26" i="6"/>
  <c r="J26" i="6"/>
  <c r="G27" i="6"/>
  <c r="H27" i="6"/>
  <c r="I27" i="6"/>
  <c r="J27" i="6"/>
  <c r="G28" i="6"/>
  <c r="H28" i="6"/>
  <c r="I28" i="6"/>
  <c r="J28" i="6"/>
  <c r="F22" i="6"/>
  <c r="F23" i="6"/>
  <c r="F24" i="6"/>
  <c r="F25" i="6"/>
  <c r="F26" i="6"/>
  <c r="F27" i="6"/>
  <c r="F28" i="6"/>
  <c r="F21" i="6"/>
  <c r="G9" i="6"/>
  <c r="H9" i="6"/>
  <c r="I9" i="6"/>
  <c r="J9" i="6"/>
  <c r="G10" i="6"/>
  <c r="H10" i="6"/>
  <c r="I10" i="6"/>
  <c r="J10" i="6"/>
  <c r="G11" i="6"/>
  <c r="H11" i="6"/>
  <c r="I11" i="6"/>
  <c r="J11" i="6"/>
  <c r="G12" i="6"/>
  <c r="H12" i="6"/>
  <c r="I12" i="6"/>
  <c r="J12" i="6"/>
  <c r="G13" i="6"/>
  <c r="H13" i="6"/>
  <c r="I13" i="6"/>
  <c r="J13" i="6"/>
  <c r="G14" i="6"/>
  <c r="H14" i="6"/>
  <c r="I14" i="6"/>
  <c r="J14" i="6"/>
  <c r="G15" i="6"/>
  <c r="H15" i="6"/>
  <c r="I15" i="6"/>
  <c r="J15" i="6"/>
  <c r="G16" i="6"/>
  <c r="H16" i="6"/>
  <c r="I16" i="6"/>
  <c r="J16" i="6"/>
  <c r="F10" i="6"/>
  <c r="F11" i="6"/>
  <c r="F12" i="6"/>
  <c r="F13" i="6"/>
  <c r="F14" i="6"/>
  <c r="F15" i="6"/>
  <c r="F16" i="6"/>
  <c r="F9" i="6"/>
  <c r="G19" i="6"/>
  <c r="H19" i="6"/>
  <c r="I19" i="6"/>
  <c r="J19" i="6"/>
  <c r="F19" i="6"/>
  <c r="C11" i="4"/>
  <c r="D11" i="4"/>
  <c r="C6" i="4"/>
  <c r="D6" i="4"/>
  <c r="C7" i="4"/>
  <c r="D7" i="4"/>
  <c r="C8" i="4"/>
  <c r="D8" i="4"/>
  <c r="C9" i="4"/>
  <c r="D9" i="4"/>
  <c r="C10" i="4"/>
  <c r="D10" i="4"/>
  <c r="D5" i="4"/>
  <c r="C5" i="4"/>
  <c r="E6" i="4"/>
  <c r="E30" i="7" l="1"/>
  <c r="E31" i="7" s="1"/>
  <c r="M26" i="8"/>
  <c r="Q27" i="7" s="1"/>
  <c r="N28" i="7"/>
  <c r="W14" i="3"/>
  <c r="P28" i="7" s="1"/>
  <c r="N20" i="7"/>
  <c r="O14" i="3"/>
  <c r="P20" i="7" s="1"/>
  <c r="N19" i="7"/>
  <c r="N14" i="3"/>
  <c r="P19" i="7" s="1"/>
  <c r="B5" i="3"/>
  <c r="N9" i="7"/>
  <c r="P9" i="7"/>
  <c r="N25" i="7"/>
  <c r="T14" i="3"/>
  <c r="P25" i="7" s="1"/>
  <c r="N21" i="7"/>
  <c r="P14" i="3"/>
  <c r="P21" i="7" s="1"/>
  <c r="N17" i="7"/>
  <c r="L14" i="3"/>
  <c r="P17" i="7" s="1"/>
  <c r="N13" i="7"/>
  <c r="H14" i="3"/>
  <c r="P13" i="7" s="1"/>
  <c r="M22" i="8"/>
  <c r="Q23" i="7" s="1"/>
  <c r="M13" i="8"/>
  <c r="Q14" i="7" s="1"/>
  <c r="N24" i="7"/>
  <c r="S14" i="3"/>
  <c r="P24" i="7" s="1"/>
  <c r="N12" i="7"/>
  <c r="G14" i="3"/>
  <c r="P12" i="7" s="1"/>
  <c r="N27" i="7"/>
  <c r="V14" i="3"/>
  <c r="P27" i="7" s="1"/>
  <c r="N23" i="7"/>
  <c r="R14" i="3"/>
  <c r="P23" i="7" s="1"/>
  <c r="N15" i="7"/>
  <c r="J14" i="3"/>
  <c r="P15" i="7" s="1"/>
  <c r="N16" i="7"/>
  <c r="K14" i="3"/>
  <c r="P16" i="7" s="1"/>
  <c r="M24" i="8"/>
  <c r="Q25" i="7" s="1"/>
  <c r="N11" i="7"/>
  <c r="F14" i="3"/>
  <c r="P11" i="7" s="1"/>
  <c r="N26" i="7"/>
  <c r="U14" i="3"/>
  <c r="P26" i="7" s="1"/>
  <c r="N22" i="7"/>
  <c r="Q14" i="3"/>
  <c r="P22" i="7" s="1"/>
  <c r="N18" i="7"/>
  <c r="M14" i="3"/>
  <c r="P18" i="7" s="1"/>
  <c r="N14" i="7"/>
  <c r="I14" i="3"/>
  <c r="P14" i="7" s="1"/>
  <c r="N10" i="7"/>
  <c r="E14" i="3"/>
  <c r="P10" i="7" s="1"/>
  <c r="F30" i="7"/>
  <c r="F31" i="7" s="1"/>
  <c r="E5" i="4"/>
  <c r="E10" i="4"/>
  <c r="E9" i="4"/>
  <c r="E8" i="4"/>
  <c r="E7" i="4"/>
  <c r="E11" i="4"/>
  <c r="W17" i="3"/>
  <c r="V17" i="3"/>
  <c r="U17" i="3"/>
  <c r="T17" i="3"/>
  <c r="S17" i="3"/>
  <c r="R17" i="3"/>
  <c r="Q17" i="3"/>
  <c r="P17" i="3"/>
  <c r="O17" i="3"/>
  <c r="N17" i="3"/>
  <c r="M17" i="3"/>
  <c r="L17" i="3"/>
  <c r="K17" i="3"/>
  <c r="J17" i="3"/>
  <c r="I17" i="3"/>
  <c r="H17" i="3"/>
  <c r="G17" i="3"/>
  <c r="F17" i="3"/>
  <c r="E17" i="3"/>
  <c r="D17" i="3"/>
  <c r="W16" i="3"/>
  <c r="V16" i="3"/>
  <c r="V18" i="3" s="1"/>
  <c r="U16" i="3"/>
  <c r="U18" i="3" s="1"/>
  <c r="T16" i="3"/>
  <c r="T18" i="3" s="1"/>
  <c r="S16" i="3"/>
  <c r="S18" i="3" s="1"/>
  <c r="R16" i="3"/>
  <c r="R18" i="3" s="1"/>
  <c r="Q16" i="3"/>
  <c r="Q18" i="3" s="1"/>
  <c r="P16" i="3"/>
  <c r="P18" i="3" s="1"/>
  <c r="O16" i="3"/>
  <c r="N16" i="3"/>
  <c r="N18" i="3" s="1"/>
  <c r="M16" i="3"/>
  <c r="M18" i="3" s="1"/>
  <c r="L16" i="3"/>
  <c r="L18" i="3" s="1"/>
  <c r="K16" i="3"/>
  <c r="K18" i="3" s="1"/>
  <c r="J16" i="3"/>
  <c r="J18" i="3" s="1"/>
  <c r="I16" i="3"/>
  <c r="I18" i="3" s="1"/>
  <c r="H16" i="3"/>
  <c r="H18" i="3" s="1"/>
  <c r="G16" i="3"/>
  <c r="G18" i="3" s="1"/>
  <c r="F16" i="3"/>
  <c r="F18" i="3" s="1"/>
  <c r="E16" i="3"/>
  <c r="E18" i="3" s="1"/>
  <c r="H9" i="7" l="1"/>
  <c r="H10" i="7" s="1"/>
  <c r="E35" i="3"/>
  <c r="F35" i="3" s="1"/>
  <c r="G35" i="3" s="1"/>
  <c r="H35" i="3" s="1"/>
  <c r="I35" i="3" s="1"/>
  <c r="J35" i="3" s="1"/>
  <c r="K35" i="3" s="1"/>
  <c r="L35" i="3" s="1"/>
  <c r="M35" i="3" s="1"/>
  <c r="N35" i="3" s="1"/>
  <c r="O35" i="3" s="1"/>
  <c r="P35" i="3" s="1"/>
  <c r="Q35" i="3" s="1"/>
  <c r="R35" i="3" s="1"/>
  <c r="S35" i="3" s="1"/>
  <c r="T35" i="3" s="1"/>
  <c r="U35" i="3" s="1"/>
  <c r="V35" i="3" s="1"/>
  <c r="W35" i="3" s="1"/>
  <c r="B24" i="3"/>
  <c r="C24" i="3" s="1"/>
  <c r="W18" i="3"/>
  <c r="O18" i="3"/>
  <c r="D16" i="3"/>
  <c r="S7" i="3"/>
  <c r="B6" i="3"/>
  <c r="J7" i="3"/>
  <c r="N7" i="3"/>
  <c r="F7" i="3"/>
  <c r="R7" i="3"/>
  <c r="V7" i="3"/>
  <c r="G7" i="3"/>
  <c r="K7" i="3"/>
  <c r="O7" i="3"/>
  <c r="W7" i="3"/>
  <c r="H7" i="3"/>
  <c r="L7" i="3"/>
  <c r="P7" i="3"/>
  <c r="T7" i="3"/>
  <c r="E7" i="3"/>
  <c r="I7" i="3"/>
  <c r="M7" i="3"/>
  <c r="Q7" i="3"/>
  <c r="U7" i="3"/>
  <c r="D7" i="3"/>
  <c r="J9" i="7" l="1"/>
  <c r="L9" i="7" s="1"/>
  <c r="J10" i="7"/>
  <c r="D18" i="3"/>
  <c r="B25" i="3" s="1"/>
  <c r="C25" i="3" s="1"/>
  <c r="B23" i="3"/>
  <c r="C23" i="3" s="1"/>
  <c r="B7" i="3"/>
  <c r="B8" i="3" s="1"/>
  <c r="H11" i="7" l="1"/>
  <c r="H12" i="7" s="1"/>
  <c r="L10" i="7"/>
  <c r="D19" i="3"/>
  <c r="D20" i="3" s="1"/>
  <c r="J11" i="7" l="1"/>
  <c r="L11" i="7" s="1"/>
  <c r="H13" i="7"/>
  <c r="J12" i="7"/>
  <c r="L12" i="7" l="1"/>
  <c r="H14" i="7"/>
  <c r="J13" i="7"/>
  <c r="L13" i="7" l="1"/>
  <c r="J14" i="7"/>
  <c r="H15" i="7"/>
  <c r="L14" i="7" l="1"/>
  <c r="J15" i="7"/>
  <c r="H16" i="7"/>
  <c r="J16" i="7" l="1"/>
  <c r="H17" i="7"/>
  <c r="L15" i="7"/>
  <c r="L16" i="7" l="1"/>
  <c r="H18" i="7"/>
  <c r="J17" i="7"/>
  <c r="L17" i="7" l="1"/>
  <c r="J18" i="7"/>
  <c r="H19" i="7"/>
  <c r="L18" i="7" l="1"/>
  <c r="H20" i="7"/>
  <c r="J19" i="7"/>
  <c r="L19" i="7" l="1"/>
  <c r="J20" i="7"/>
  <c r="H21" i="7"/>
  <c r="L20" i="7" l="1"/>
  <c r="H22" i="7"/>
  <c r="J21" i="7"/>
  <c r="L21" i="7" l="1"/>
  <c r="J22" i="7"/>
  <c r="H23" i="7"/>
  <c r="L22" i="7" l="1"/>
  <c r="J23" i="7"/>
  <c r="H24" i="7"/>
  <c r="L23" i="7" l="1"/>
  <c r="J24" i="7"/>
  <c r="H25" i="7"/>
  <c r="L24" i="7" l="1"/>
  <c r="J25" i="7"/>
  <c r="H26" i="7"/>
  <c r="L25" i="7" l="1"/>
  <c r="J26" i="7"/>
  <c r="H27" i="7"/>
  <c r="L26" i="7" l="1"/>
  <c r="H28" i="7"/>
  <c r="J28" i="7" s="1"/>
  <c r="J27" i="7"/>
  <c r="L28" i="7" l="1"/>
  <c r="H30" i="7"/>
  <c r="H31" i="7" s="1"/>
  <c r="L27" i="7"/>
  <c r="J30" i="7"/>
  <c r="J31" i="7" s="1"/>
</calcChain>
</file>

<file path=xl/comments1.xml><?xml version="1.0" encoding="utf-8"?>
<comments xmlns="http://schemas.openxmlformats.org/spreadsheetml/2006/main">
  <authors>
    <author>Sandeap Reddy</author>
  </authors>
  <commentList>
    <comment ref="A11" authorId="0">
      <text>
        <r>
          <rPr>
            <b/>
            <sz val="8"/>
            <color indexed="81"/>
            <rFont val="Tahoma"/>
            <family val="2"/>
          </rPr>
          <t>Sandeap Reddy:</t>
        </r>
        <r>
          <rPr>
            <sz val="8"/>
            <color indexed="81"/>
            <rFont val="Tahoma"/>
            <family val="2"/>
          </rPr>
          <t xml:space="preserve">
for data please see - R:\Acquisition\#Project files\2013 IRP Analysis\TXrenew_150 MW\Jefferson County Adj\Optimized\2014 optimized\Case 1 PSM III 18_2013 IRP_v15_Base_ Opt All w RFP_091313_IntTol Adj_2014.xlsx
'AuroraEnergyAll' tab 357
 </t>
        </r>
      </text>
    </comment>
    <comment ref="A12" authorId="0">
      <text>
        <r>
          <rPr>
            <b/>
            <sz val="8"/>
            <color indexed="81"/>
            <rFont val="Tahoma"/>
            <family val="2"/>
          </rPr>
          <t>Sandeap Reddy:</t>
        </r>
        <r>
          <rPr>
            <sz val="8"/>
            <color indexed="81"/>
            <rFont val="Tahoma"/>
            <family val="2"/>
          </rPr>
          <t xml:space="preserve">
For source data please see - R:\Acquisition\#Project files\2013 IRP Analysis\TXrenew_150 MW\Jefferson County Adj\Optimized\2014 optimized\Case 1 PSM III 18_2013 IRP_v15_Base_ Opt All w RFP_092413_IntTol Adj_2014_Jefferson.xlsx
'AuroraEnergyAll' tab Row 357</t>
        </r>
      </text>
    </comment>
  </commentList>
</comments>
</file>

<file path=xl/comments2.xml><?xml version="1.0" encoding="utf-8"?>
<comments xmlns="http://schemas.openxmlformats.org/spreadsheetml/2006/main">
  <authors>
    <author>Puget Sound Energy</author>
  </authors>
  <commentList>
    <comment ref="A69" authorId="0">
      <text>
        <r>
          <rPr>
            <b/>
            <sz val="9"/>
            <color indexed="81"/>
            <rFont val="Tahoma"/>
            <family val="2"/>
          </rPr>
          <t>Puget Sound Energy:</t>
        </r>
        <r>
          <rPr>
            <sz val="9"/>
            <color indexed="81"/>
            <rFont val="Tahoma"/>
            <family val="2"/>
          </rPr>
          <t xml:space="preserve">
Financial tab not connected</t>
        </r>
      </text>
    </comment>
  </commentList>
</comments>
</file>

<file path=xl/comments3.xml><?xml version="1.0" encoding="utf-8"?>
<comments xmlns="http://schemas.openxmlformats.org/spreadsheetml/2006/main">
  <authors>
    <author>Puget Sound Energy</author>
  </authors>
  <commentList>
    <comment ref="A47" authorId="0">
      <text>
        <r>
          <rPr>
            <b/>
            <sz val="9"/>
            <color indexed="81"/>
            <rFont val="Tahoma"/>
            <family val="2"/>
          </rPr>
          <t>Puget Sound Energy:</t>
        </r>
        <r>
          <rPr>
            <sz val="9"/>
            <color indexed="81"/>
            <rFont val="Tahoma"/>
            <family val="2"/>
          </rPr>
          <t xml:space="preserve">
Financial tab not connected</t>
        </r>
      </text>
    </comment>
  </commentList>
</comments>
</file>

<file path=xl/comments4.xml><?xml version="1.0" encoding="utf-8"?>
<comments xmlns="http://schemas.openxmlformats.org/spreadsheetml/2006/main">
  <authors>
    <author>Puget Sound Energy</author>
  </authors>
  <commentList>
    <comment ref="E30" authorId="0">
      <text>
        <r>
          <rPr>
            <b/>
            <sz val="9"/>
            <color indexed="81"/>
            <rFont val="Tahoma"/>
            <family val="2"/>
          </rPr>
          <t>Puget Sound Energy:</t>
        </r>
        <r>
          <rPr>
            <sz val="9"/>
            <color indexed="81"/>
            <rFont val="Tahoma"/>
            <family val="2"/>
          </rPr>
          <t xml:space="preserve">
Financial tab not connected</t>
        </r>
      </text>
    </comment>
    <comment ref="E46" authorId="0">
      <text>
        <r>
          <rPr>
            <b/>
            <sz val="9"/>
            <color indexed="81"/>
            <rFont val="Tahoma"/>
            <family val="2"/>
          </rPr>
          <t>Puget Sound Energy:</t>
        </r>
        <r>
          <rPr>
            <sz val="9"/>
            <color indexed="81"/>
            <rFont val="Tahoma"/>
            <family val="2"/>
          </rPr>
          <t xml:space="preserve">
Financial tab not connected</t>
        </r>
      </text>
    </comment>
  </commentList>
</comments>
</file>

<file path=xl/sharedStrings.xml><?xml version="1.0" encoding="utf-8"?>
<sst xmlns="http://schemas.openxmlformats.org/spreadsheetml/2006/main" count="564" uniqueCount="249">
  <si>
    <t>(All Generics)_2013 IRP Base</t>
  </si>
  <si>
    <t>PSM III Optimizer v 18 2013 IRP</t>
  </si>
  <si>
    <t>Portfolio Cost ($000s)</t>
  </si>
  <si>
    <t>NPV</t>
  </si>
  <si>
    <t>REC Revenue</t>
  </si>
  <si>
    <t>Cost of Power Purchase</t>
  </si>
  <si>
    <t>DSM</t>
  </si>
  <si>
    <t>Acquisition / PPA Rev. Requirement</t>
  </si>
  <si>
    <t>Generic Revenue Requirement</t>
  </si>
  <si>
    <t>Variable Cost of Existing Fleet</t>
  </si>
  <si>
    <t>Total Expected Cost</t>
  </si>
  <si>
    <t>Annual Rev. Req.</t>
  </si>
  <si>
    <t>without End Effect</t>
  </si>
  <si>
    <t>PPA Rev. Requirement</t>
  </si>
  <si>
    <t>Acquisition</t>
  </si>
  <si>
    <t>Expected Cost</t>
  </si>
  <si>
    <t>End effects  components</t>
  </si>
  <si>
    <t>End Effects from Generic Resources</t>
  </si>
  <si>
    <t>End effects for generics added in first 20 years</t>
  </si>
  <si>
    <t>End Effects from New Acquisitions</t>
  </si>
  <si>
    <t>End Effects from PPAs</t>
  </si>
  <si>
    <t>Generic Replacement Costs</t>
  </si>
  <si>
    <t>End effects for the replacement of generics to create equivalent lives</t>
  </si>
  <si>
    <t>Total Revenue Requirement</t>
  </si>
  <si>
    <t>OBJ-PVRevReq</t>
  </si>
  <si>
    <t>Generic Choice Variables</t>
  </si>
  <si>
    <t>Total</t>
  </si>
  <si>
    <t>CCGT - West</t>
  </si>
  <si>
    <t>Peaker - West</t>
  </si>
  <si>
    <t>Wind</t>
  </si>
  <si>
    <t>New Renewable 1</t>
  </si>
  <si>
    <t>New Renewable 2</t>
  </si>
  <si>
    <t>New Renewable 3</t>
  </si>
  <si>
    <t>Transmission Addition</t>
  </si>
  <si>
    <t>CCGT - East</t>
  </si>
  <si>
    <t>Peaker - East</t>
  </si>
  <si>
    <t>Self Build Peaker</t>
  </si>
  <si>
    <t>Acquisition Choice Variables</t>
  </si>
  <si>
    <t>DSM Choice Variables</t>
  </si>
  <si>
    <t>DR Choice Variables</t>
  </si>
  <si>
    <t>A</t>
  </si>
  <si>
    <t>DR1</t>
  </si>
  <si>
    <t>A1</t>
  </si>
  <si>
    <t>DR2</t>
  </si>
  <si>
    <t>B</t>
  </si>
  <si>
    <t>DR3</t>
  </si>
  <si>
    <t>B1</t>
  </si>
  <si>
    <t>DR4</t>
  </si>
  <si>
    <t>C</t>
  </si>
  <si>
    <t>DR5</t>
  </si>
  <si>
    <t>D</t>
  </si>
  <si>
    <t>E</t>
  </si>
  <si>
    <t>F</t>
  </si>
  <si>
    <t>G</t>
  </si>
  <si>
    <t>H</t>
  </si>
  <si>
    <t>DSR Total</t>
  </si>
  <si>
    <t>Acquisition Constraints</t>
  </si>
  <si>
    <t>Constraint #2</t>
  </si>
  <si>
    <t>Constraint #3</t>
  </si>
  <si>
    <t>Constraint #4</t>
  </si>
  <si>
    <t>Constraint #5</t>
  </si>
  <si>
    <t>Constraint #6</t>
  </si>
  <si>
    <t xml:space="preserve">Acq Thermal 1: </t>
  </si>
  <si>
    <t>DSM Bundle A - IRP13</t>
  </si>
  <si>
    <t xml:space="preserve">Acq Thermal 2: </t>
  </si>
  <si>
    <t xml:space="preserve">Tolling PPA 2: </t>
  </si>
  <si>
    <t>DSM Bundle B - IRP13</t>
  </si>
  <si>
    <t xml:space="preserve">Acq Thermal 3: </t>
  </si>
  <si>
    <t xml:space="preserve">Tolling PPA 3: </t>
  </si>
  <si>
    <t>DSM Bundle C - IRP13</t>
  </si>
  <si>
    <t xml:space="preserve">Acq Thermal 4: </t>
  </si>
  <si>
    <t xml:space="preserve">Tolling PPA 4: </t>
  </si>
  <si>
    <t>DSM Bundle D - IRP13</t>
  </si>
  <si>
    <t xml:space="preserve">Acq Thermal 5: </t>
  </si>
  <si>
    <t xml:space="preserve">Tolling PPA 5: </t>
  </si>
  <si>
    <t>DSM Bundle E - IRP13</t>
  </si>
  <si>
    <t xml:space="preserve">Renewable Acq 1: </t>
  </si>
  <si>
    <t xml:space="preserve">Tolling PPA 6: </t>
  </si>
  <si>
    <t>DSM Bundle F - IRP13</t>
  </si>
  <si>
    <t xml:space="preserve">Renewable Acq 2: </t>
  </si>
  <si>
    <t xml:space="preserve">Tolling PPA 7: </t>
  </si>
  <si>
    <t>DSM Bundle G - IRP13</t>
  </si>
  <si>
    <t xml:space="preserve">Renewable Acq 3: </t>
  </si>
  <si>
    <t xml:space="preserve">Tolling PPA 8: </t>
  </si>
  <si>
    <t>DSM Bundle H - IRP13</t>
  </si>
  <si>
    <t xml:space="preserve">Renewable Acq 4: </t>
  </si>
  <si>
    <t xml:space="preserve">Tolling PPA 9: </t>
  </si>
  <si>
    <t>DSM Bundle I - IRP13</t>
  </si>
  <si>
    <t xml:space="preserve">Renewable Acq 5: </t>
  </si>
  <si>
    <t xml:space="preserve">Tolling PPA 10: </t>
  </si>
  <si>
    <t>DSM Bundle J - IRP13</t>
  </si>
  <si>
    <t xml:space="preserve">Renewable PPA 1: </t>
  </si>
  <si>
    <t xml:space="preserve">Renewable PPA 2: </t>
  </si>
  <si>
    <t xml:space="preserve">Renewable PPA 3: </t>
  </si>
  <si>
    <t xml:space="preserve">Renewable PPA 4: </t>
  </si>
  <si>
    <t xml:space="preserve">Renewable PPA 5: </t>
  </si>
  <si>
    <t>Demand Response</t>
  </si>
  <si>
    <t>DE</t>
  </si>
  <si>
    <t>Builds</t>
  </si>
  <si>
    <t>Base-EnvCase2</t>
  </si>
  <si>
    <t>Base_EnvCase2 with JeffersonCo.</t>
  </si>
  <si>
    <t>Base</t>
  </si>
  <si>
    <t>Base+JeffCo</t>
  </si>
  <si>
    <t>Diff</t>
  </si>
  <si>
    <t>NPV(000s)</t>
  </si>
  <si>
    <t>Delta</t>
  </si>
  <si>
    <t>Delta Levelized-20Yrs</t>
  </si>
  <si>
    <t>Base_EnvCase2 w/ JeffersonCo.</t>
  </si>
  <si>
    <t>115 MW TX selection</t>
  </si>
  <si>
    <t>Fixed Price PPA 1: Colstrip 1&amp;2 Env1</t>
  </si>
  <si>
    <t>Fixed Price PPA 2: Colstrip 3&amp;4 Env1</t>
  </si>
  <si>
    <t>Fixed Price PPA 3: 115 MW TX Renewal 2014</t>
  </si>
  <si>
    <t>Fixed Price PPA 4: 115 MW TX Renewal 2018</t>
  </si>
  <si>
    <t>Fixed Price PPA 5: 115 MW TX Renewal 2019</t>
  </si>
  <si>
    <t>Fixed Price PPA 6: 115 MW TX Renewal 2020</t>
  </si>
  <si>
    <t>Fixed Price PPA 7: 115 MW TX Renewal 2021</t>
  </si>
  <si>
    <t>Fixed Price PPA 8: 35 MW TX Renewal 2014</t>
  </si>
  <si>
    <t>Fixed Price PPA 9: 35 MW TX Renewal 2018</t>
  </si>
  <si>
    <t xml:space="preserve">Fixed Price PPA 10: Tx Contract Renewal </t>
  </si>
  <si>
    <t>Tolling PPA 1: Klamath Peaker Extension</t>
  </si>
  <si>
    <t>Source File -</t>
  </si>
  <si>
    <t>Acq Thermal 1: Grays Harbor</t>
  </si>
  <si>
    <t>Tolling PPA 2: 35 MW renewal 2019</t>
  </si>
  <si>
    <t>Tolling PPA 3: 35 MW renewal 2020</t>
  </si>
  <si>
    <t>Tolling PPA 4: 35 MW renewal 2021</t>
  </si>
  <si>
    <t>Renewable PPA 1: 2016 Short PPA</t>
  </si>
  <si>
    <t>Renewable PPA 2: 2017 Short PPA</t>
  </si>
  <si>
    <t>Renewable PPA 3: 2018 Short PPA</t>
  </si>
  <si>
    <t>Renewable PPA 4: 2019 Short PPA</t>
  </si>
  <si>
    <t>Renewable PPA 5: 2020 Short PPA</t>
  </si>
  <si>
    <t>35 MW TX selection</t>
  </si>
  <si>
    <t>Short PPA 1</t>
  </si>
  <si>
    <t>Short PPA 2</t>
  </si>
  <si>
    <t>Pct. Difference fr. Base Rate</t>
  </si>
  <si>
    <t>R:\Acquisition\#Project files\2013 IRP Analysis\TXrenew_150 MW\Jefferson County Adj\Optimized\2014 optimized\Case 1 PSM III 18_2013 IRP_v15_Base_ Opt All w RFP_091313_IntTol Adj_2014a.xlsx</t>
  </si>
  <si>
    <t>Analysis uses F2012 Official Load Forecast along with 2013 IRP DSR</t>
  </si>
  <si>
    <t>NPV($)</t>
  </si>
  <si>
    <t>Levelized ($/MWh)</t>
  </si>
  <si>
    <t xml:space="preserve">Base-EnvCase2 </t>
  </si>
  <si>
    <t xml:space="preserve">Base_EnvCase2 w/ JeffersonCo.  </t>
  </si>
  <si>
    <t>Diff Levelized RevReq/MWH</t>
  </si>
  <si>
    <t>Annual Revenue Requirements(exc Fixed Costs of Exist Resources)</t>
  </si>
  <si>
    <t>Revenue Requirement/MWH ($/MWH)</t>
  </si>
  <si>
    <t>20 Year Average (Incremental Cost/MWH)</t>
  </si>
  <si>
    <t>Total System Energy Sales(Net of DSR) - MWHs</t>
  </si>
  <si>
    <t>Base w/ Jefferson County</t>
  </si>
  <si>
    <t>w/ Jefferson County</t>
  </si>
  <si>
    <t>Load Delta</t>
  </si>
  <si>
    <t>R:\Acquisition\#Project files\2013 IRP Analysis\TXrenew_150 MW\Jefferson County Adj\Optimized\2014 optimized\Case 1 PSM III 18_2013 IRP_v15_Base_ Opt All w RFP_092413_IntTol Adj_2014_Jeffersona.xlsx</t>
  </si>
  <si>
    <t>Diff (Incremental Cost / MWH) ( w/ Jefferson - no Jefferson)</t>
  </si>
  <si>
    <t>Delta  ( w/ Jefferson - no Jefferson)</t>
  </si>
  <si>
    <t>PSM III Calc</t>
  </si>
  <si>
    <t>Delta%</t>
  </si>
  <si>
    <t>Aurora Update 9/24</t>
  </si>
  <si>
    <t>20 yr NPV portfolio cost Delta   ( w/ Jefferson - no Jefferson)</t>
  </si>
  <si>
    <t>Avoided</t>
  </si>
  <si>
    <t>Net</t>
  </si>
  <si>
    <t>Benefit</t>
  </si>
  <si>
    <t>Growth Rates</t>
  </si>
  <si>
    <t>PCA Rates</t>
  </si>
  <si>
    <t>Without JeffCo</t>
  </si>
  <si>
    <t>With JeffCo</t>
  </si>
  <si>
    <t>JeffCo Load</t>
  </si>
  <si>
    <t>JeffCo</t>
  </si>
  <si>
    <t>Loads</t>
  </si>
  <si>
    <t>Levelized</t>
  </si>
  <si>
    <t>Lost JeffCo</t>
  </si>
  <si>
    <t>JeffCo PCA Revenue (12M Ending 06/30/12)</t>
  </si>
  <si>
    <t>JeffCo MWh (12M Ending 06/30/12)</t>
  </si>
  <si>
    <t>(a)</t>
  </si>
  <si>
    <t>(b)</t>
  </si>
  <si>
    <t>(c)=(a)-(b)</t>
  </si>
  <si>
    <t>(e)=(c)-(d)</t>
  </si>
  <si>
    <t>(g)</t>
  </si>
  <si>
    <t>(h)</t>
  </si>
  <si>
    <t>Row</t>
  </si>
  <si>
    <t>NPV of Net</t>
  </si>
  <si>
    <t>Cumulative</t>
  </si>
  <si>
    <t>Year</t>
  </si>
  <si>
    <t>Note: All revenue figures in $000's.</t>
  </si>
  <si>
    <t>(i)</t>
  </si>
  <si>
    <t>(f)=NPV(e)</t>
  </si>
  <si>
    <t>Rev17</t>
  </si>
  <si>
    <t>Annual</t>
  </si>
  <si>
    <t>Baseline Rate</t>
  </si>
  <si>
    <t>GrowthRate</t>
  </si>
  <si>
    <t>Fixed</t>
  </si>
  <si>
    <t>Mkt Based</t>
  </si>
  <si>
    <t>2013 PCORC Settlement Baseline Rate</t>
  </si>
  <si>
    <t xml:space="preserve">    beginning November 1, 2013</t>
  </si>
  <si>
    <t>Costs</t>
  </si>
  <si>
    <t>%</t>
  </si>
  <si>
    <t>Rate</t>
  </si>
  <si>
    <t>Total Fixed Costs</t>
  </si>
  <si>
    <t>Total Power Costs - Fixed</t>
  </si>
  <si>
    <t>Total Other Variable Costs</t>
  </si>
  <si>
    <t xml:space="preserve">    Total before Rev. Sensitive Items</t>
  </si>
  <si>
    <t xml:space="preserve">    Test Year Normalized Load</t>
  </si>
  <si>
    <t xml:space="preserve">    Baseline Rate per MWh</t>
  </si>
  <si>
    <t xml:space="preserve">          Fixed</t>
  </si>
  <si>
    <t xml:space="preserve">          Baseline Rate per MWh</t>
  </si>
  <si>
    <t>*  Includes power costs dependent on energy market prices, including</t>
  </si>
  <si>
    <t xml:space="preserve">    power market purchases, gas for power generation, open position,</t>
  </si>
  <si>
    <t xml:space="preserve">    hedges and other such types of costs. </t>
  </si>
  <si>
    <t>LevPr(14_33)</t>
  </si>
  <si>
    <t>aarg(14_33)</t>
  </si>
  <si>
    <t>2013 PCORC % Rate Change (RY Beginning 11/1/13)</t>
  </si>
  <si>
    <t>Page 1 of 1</t>
  </si>
  <si>
    <t>PCA Revenue</t>
  </si>
  <si>
    <t>Adjusted Effective PCA Rate ($/MWh)</t>
  </si>
  <si>
    <t>Average Effective PCA Rate ($/MWh)</t>
  </si>
  <si>
    <t>&lt;13PCORC avg MidC Flat</t>
  </si>
  <si>
    <t>Total Power Costs - Mkt Based Power *</t>
  </si>
  <si>
    <t>Total Power Costs - Mkt Based Gas **</t>
  </si>
  <si>
    <t>Market Based - Gas</t>
  </si>
  <si>
    <t>Annual Average Prices for the 2013 IRP</t>
  </si>
  <si>
    <t>MidC</t>
  </si>
  <si>
    <t>Sumas</t>
  </si>
  <si>
    <t>Gas</t>
  </si>
  <si>
    <t>Power</t>
  </si>
  <si>
    <t>&lt;13PCORC avg Sumas</t>
  </si>
  <si>
    <t>Mkt Based - Power</t>
  </si>
  <si>
    <t>With Jefferson County Being Served</t>
  </si>
  <si>
    <t>Delta - Savings Without Jefferson County</t>
  </si>
  <si>
    <t>Jefferson County No Longer Served</t>
  </si>
  <si>
    <t>Forecasted</t>
  </si>
  <si>
    <t xml:space="preserve">Fixed </t>
  </si>
  <si>
    <t>of PCA</t>
  </si>
  <si>
    <t>without</t>
  </si>
  <si>
    <t>Component</t>
  </si>
  <si>
    <t>with</t>
  </si>
  <si>
    <t>Increase/</t>
  </si>
  <si>
    <t>(Decrease)</t>
  </si>
  <si>
    <t>in Fixed</t>
  </si>
  <si>
    <t>Cost -PCA</t>
  </si>
  <si>
    <t>Factor</t>
  </si>
  <si>
    <t>in PCA</t>
  </si>
  <si>
    <t>Rev Req't</t>
  </si>
  <si>
    <t>w/o JeffCo</t>
  </si>
  <si>
    <t>Nominal $</t>
  </si>
  <si>
    <t>Starting point Fixed PCA Annual Cost CF to Other Spreadsheet</t>
  </si>
  <si>
    <t>"Lost" PCA revenes to be recovered from Jefferson County were increased in this calculation to consider the fact that the "Fixed" component of the PCA to be recovered from Jeff County would increase overtime as new facilities were added.</t>
  </si>
  <si>
    <t>(d) = (g)x(h)x(i)</t>
  </si>
  <si>
    <t>(Per PC</t>
  </si>
  <si>
    <t>DR 31)</t>
  </si>
  <si>
    <t>Incremental Power Costs (Including Existing Plant)</t>
  </si>
  <si>
    <t>Revised Calculation of Net Present Value Power Supply Cost Savings Resulting from Jefferon County's Departure from the PSE System</t>
  </si>
  <si>
    <t>PSE estimated Power Supply Cost NPV savings of $83,192.  However, PSE failed to estimate the increasing PCA "fixed" rate over the study period. The Company's Exhibit No.__(JAP-7) spreadsheet support was edited herein to add the increase in the "fixed" PCA component as provided in PC DR 31.  Since the current "fixed" PCA rate component was considered in the development of "Lost JeffCo PCA Revenues," the total fixed production costs underlying the current fixed PCA rate was also added to PSE's estimate of Incremental Power Costs "With JeffCo" and "Without JeffCo."  The results of this one correction reduces the Company's claimed NPV power supply cost savings estimate from $83.192 million down to $57.973 milllion</t>
  </si>
  <si>
    <t>Exhibit No. JRD-4</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</si>
</sst>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
    <numFmt numFmtId="167" formatCode="[$-409]d\-mmm\-yy;@"/>
    <numFmt numFmtId="168" formatCode="&quot;$&quot;#,##0"/>
    <numFmt numFmtId="169" formatCode="0.000000"/>
    <numFmt numFmtId="170" formatCode="0.0"/>
    <numFmt numFmtId="171" formatCode="0.0%"/>
    <numFmt numFmtId="172" formatCode="0.0000%"/>
    <numFmt numFmtId="173" formatCode="_(&quot;$&quot;* #,##0.000_);_(&quot;$&quot;* \(#,##0.000\);_(&quot;$&quot;* &quot;-&quot;??_);_(@_)"/>
    <numFmt numFmtId="174" formatCode="_(&quot;$&quot;* #,##0.0000_);_(&quot;$&quot;* \(#,##0.0000\);_(&quot;$&quot;* &quot;-&quot;??_);_(@_)"/>
    <numFmt numFmtId="175" formatCode="0.000"/>
  </numFmts>
  <fonts count="40" x14ac:knownFonts="1">
    <font>
      <sz val="11"/>
      <color theme="1"/>
      <name val="Calibri"/>
      <family val="2"/>
      <scheme val="minor"/>
    </font>
    <font>
      <sz val="11"/>
      <color theme="1"/>
      <name val="Calibri"/>
      <family val="2"/>
      <scheme val="minor"/>
    </font>
    <font>
      <b/>
      <sz val="11"/>
      <color theme="1"/>
      <name val="Calibri"/>
      <family val="2"/>
      <scheme val="minor"/>
    </font>
    <font>
      <b/>
      <sz val="18"/>
      <name val="Calibri"/>
      <family val="2"/>
      <scheme val="minor"/>
    </font>
    <font>
      <sz val="10"/>
      <name val="Calibri"/>
      <family val="2"/>
      <scheme val="minor"/>
    </font>
    <font>
      <sz val="10"/>
      <color indexed="12"/>
      <name val="Calibri"/>
      <family val="2"/>
      <scheme val="minor"/>
    </font>
    <font>
      <b/>
      <sz val="16"/>
      <color indexed="16"/>
      <name val="Calibri"/>
      <family val="2"/>
      <scheme val="minor"/>
    </font>
    <font>
      <b/>
      <sz val="9"/>
      <name val="Calibri"/>
      <family val="2"/>
      <scheme val="minor"/>
    </font>
    <font>
      <b/>
      <sz val="10"/>
      <name val="Calibri"/>
      <family val="2"/>
      <scheme val="minor"/>
    </font>
    <font>
      <b/>
      <sz val="12"/>
      <name val="Calibri"/>
      <family val="2"/>
      <scheme val="minor"/>
    </font>
    <font>
      <sz val="10"/>
      <color indexed="16"/>
      <name val="Calibri"/>
      <family val="2"/>
      <scheme val="minor"/>
    </font>
    <font>
      <b/>
      <i/>
      <sz val="12"/>
      <name val="Calibri"/>
      <family val="2"/>
      <scheme val="minor"/>
    </font>
    <font>
      <b/>
      <u/>
      <sz val="10"/>
      <name val="Calibri"/>
      <family val="2"/>
      <scheme val="minor"/>
    </font>
    <font>
      <b/>
      <sz val="18"/>
      <color theme="1"/>
      <name val="Calibri"/>
      <family val="2"/>
      <scheme val="minor"/>
    </font>
    <font>
      <sz val="10"/>
      <color theme="1"/>
      <name val="Calibri"/>
      <family val="2"/>
      <scheme val="minor"/>
    </font>
    <font>
      <b/>
      <sz val="16"/>
      <color theme="1"/>
      <name val="Calibri"/>
      <family val="2"/>
      <scheme val="minor"/>
    </font>
    <font>
      <b/>
      <sz val="10"/>
      <color theme="1"/>
      <name val="Calibri"/>
      <family val="2"/>
      <scheme val="minor"/>
    </font>
    <font>
      <b/>
      <sz val="12"/>
      <color theme="1"/>
      <name val="Calibri"/>
      <family val="2"/>
      <scheme val="minor"/>
    </font>
    <font>
      <sz val="10"/>
      <color theme="1"/>
      <name val="Arial"/>
      <family val="2"/>
    </font>
    <font>
      <b/>
      <sz val="9"/>
      <color indexed="81"/>
      <name val="Tahoma"/>
      <family val="2"/>
    </font>
    <font>
      <sz val="9"/>
      <color indexed="81"/>
      <name val="Tahoma"/>
      <family val="2"/>
    </font>
    <font>
      <b/>
      <sz val="20"/>
      <name val="Calibri"/>
      <family val="2"/>
      <scheme val="minor"/>
    </font>
    <font>
      <sz val="11"/>
      <name val="Calibri"/>
      <family val="2"/>
      <scheme val="minor"/>
    </font>
    <font>
      <sz val="8"/>
      <color indexed="81"/>
      <name val="Tahoma"/>
      <family val="2"/>
    </font>
    <font>
      <b/>
      <sz val="8"/>
      <color indexed="81"/>
      <name val="Tahoma"/>
      <family val="2"/>
    </font>
    <font>
      <sz val="11"/>
      <color theme="0"/>
      <name val="Calibri"/>
      <family val="2"/>
      <scheme val="minor"/>
    </font>
    <font>
      <u val="singleAccounting"/>
      <sz val="11"/>
      <color theme="1"/>
      <name val="Calibri"/>
      <family val="2"/>
      <scheme val="minor"/>
    </font>
    <font>
      <u/>
      <sz val="11"/>
      <color theme="1"/>
      <name val="Calibri"/>
      <family val="2"/>
      <scheme val="minor"/>
    </font>
    <font>
      <b/>
      <sz val="10"/>
      <name val="Arial"/>
      <family val="2"/>
    </font>
    <font>
      <b/>
      <u/>
      <sz val="11"/>
      <color theme="1"/>
      <name val="Calibri"/>
      <family val="2"/>
      <scheme val="minor"/>
    </font>
    <font>
      <sz val="10"/>
      <name val="Arial"/>
      <family val="2"/>
    </font>
    <font>
      <b/>
      <sz val="11"/>
      <name val="Arial"/>
      <family val="2"/>
    </font>
    <font>
      <b/>
      <sz val="10"/>
      <color rgb="FFFF5050"/>
      <name val="Arial"/>
      <family val="2"/>
    </font>
    <font>
      <b/>
      <i/>
      <sz val="9"/>
      <name val="Arial"/>
      <family val="2"/>
    </font>
    <font>
      <b/>
      <sz val="9"/>
      <name val="Arial"/>
      <family val="2"/>
    </font>
    <font>
      <sz val="9"/>
      <name val="Arial"/>
      <family val="2"/>
    </font>
    <font>
      <b/>
      <i/>
      <sz val="10"/>
      <name val="Arial"/>
      <family val="2"/>
    </font>
    <font>
      <b/>
      <sz val="10"/>
      <name val="Times New Roman"/>
      <family val="1"/>
    </font>
    <font>
      <b/>
      <sz val="12"/>
      <name val="Arial"/>
      <family val="2"/>
    </font>
    <font>
      <b/>
      <i/>
      <sz val="10"/>
      <name val="Calibri"/>
      <family val="2"/>
      <scheme val="minor"/>
    </font>
  </fonts>
  <fills count="9">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indexed="44"/>
        <bgColor indexed="64"/>
      </patternFill>
    </fill>
    <fill>
      <patternFill patternType="lightGray">
        <bgColor indexed="42"/>
      </patternFill>
    </fill>
    <fill>
      <patternFill patternType="solid">
        <fgColor indexed="42"/>
        <bgColor indexed="64"/>
      </patternFill>
    </fill>
    <fill>
      <patternFill patternType="solid">
        <fgColor theme="8" tint="0.59999389629810485"/>
        <bgColor indexed="64"/>
      </patternFill>
    </fill>
    <fill>
      <patternFill patternType="solid">
        <fgColor theme="9" tint="0.59999389629810485"/>
        <bgColor indexed="64"/>
      </patternFill>
    </fill>
  </fills>
  <borders count="63">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auto="1"/>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0" fillId="0" borderId="0"/>
    <xf numFmtId="0" fontId="30" fillId="0" borderId="0"/>
    <xf numFmtId="0" fontId="30" fillId="0" borderId="0"/>
  </cellStyleXfs>
  <cellXfs count="330">
    <xf numFmtId="0" fontId="0" fillId="0" borderId="0" xfId="0"/>
    <xf numFmtId="164" fontId="0" fillId="0" borderId="0" xfId="0" applyNumberFormat="1"/>
    <xf numFmtId="6" fontId="0" fillId="0" borderId="0" xfId="0" applyNumberFormat="1"/>
    <xf numFmtId="2" fontId="3" fillId="0" borderId="0" xfId="0" applyNumberFormat="1" applyFont="1" applyFill="1" applyBorder="1" applyAlignment="1">
      <alignment horizontal="left"/>
    </xf>
    <xf numFmtId="2" fontId="4" fillId="0" borderId="0" xfId="0" applyNumberFormat="1" applyFont="1" applyAlignment="1">
      <alignment horizontal="left"/>
    </xf>
    <xf numFmtId="2" fontId="4" fillId="0" borderId="0" xfId="0" applyNumberFormat="1" applyFont="1" applyFill="1" applyAlignment="1">
      <alignment horizontal="left"/>
    </xf>
    <xf numFmtId="2" fontId="4" fillId="0" borderId="0" xfId="1" applyNumberFormat="1" applyFont="1" applyBorder="1" applyAlignment="1"/>
    <xf numFmtId="2" fontId="5" fillId="0" borderId="1" xfId="1" applyNumberFormat="1" applyFont="1" applyFill="1" applyBorder="1" applyAlignment="1"/>
    <xf numFmtId="2" fontId="4" fillId="0" borderId="0" xfId="1" applyNumberFormat="1" applyFont="1" applyAlignment="1"/>
    <xf numFmtId="2" fontId="4" fillId="0" borderId="0" xfId="0" applyNumberFormat="1" applyFont="1" applyAlignment="1"/>
    <xf numFmtId="2" fontId="6" fillId="0" borderId="0" xfId="0" applyNumberFormat="1" applyFont="1" applyAlignment="1">
      <alignment horizontal="left"/>
    </xf>
    <xf numFmtId="2" fontId="4" fillId="0" borderId="0" xfId="0" applyNumberFormat="1" applyFont="1" applyFill="1" applyBorder="1" applyAlignment="1">
      <alignment horizontal="left"/>
    </xf>
    <xf numFmtId="2" fontId="7" fillId="0" borderId="0" xfId="0" applyNumberFormat="1" applyFont="1" applyAlignment="1">
      <alignment horizontal="left"/>
    </xf>
    <xf numFmtId="164" fontId="8" fillId="0" borderId="0" xfId="1" applyNumberFormat="1" applyFont="1" applyFill="1" applyBorder="1" applyAlignment="1"/>
    <xf numFmtId="2" fontId="4" fillId="0" borderId="0" xfId="2" applyNumberFormat="1" applyFont="1" applyFill="1" applyAlignment="1"/>
    <xf numFmtId="2" fontId="9" fillId="0" borderId="2" xfId="0" applyNumberFormat="1" applyFont="1" applyBorder="1" applyAlignment="1">
      <alignment horizontal="left"/>
    </xf>
    <xf numFmtId="2" fontId="9" fillId="0" borderId="2" xfId="0" applyNumberFormat="1" applyFont="1" applyFill="1" applyBorder="1" applyAlignment="1">
      <alignment horizontal="center"/>
    </xf>
    <xf numFmtId="2" fontId="4" fillId="0" borderId="0" xfId="0" applyNumberFormat="1" applyFont="1" applyBorder="1" applyAlignment="1">
      <alignment horizontal="left"/>
    </xf>
    <xf numFmtId="2" fontId="4" fillId="0" borderId="3" xfId="0" applyNumberFormat="1" applyFont="1" applyBorder="1" applyAlignment="1">
      <alignment wrapText="1"/>
    </xf>
    <xf numFmtId="2" fontId="4" fillId="2" borderId="3" xfId="0" applyNumberFormat="1" applyFont="1" applyFill="1" applyBorder="1" applyAlignment="1">
      <alignment wrapText="1"/>
    </xf>
    <xf numFmtId="1" fontId="10" fillId="0" borderId="3" xfId="0" applyNumberFormat="1" applyFont="1" applyFill="1" applyBorder="1" applyAlignment="1">
      <alignment horizontal="right" vertical="center" wrapText="1"/>
    </xf>
    <xf numFmtId="2" fontId="4" fillId="0" borderId="4" xfId="0" applyNumberFormat="1" applyFont="1" applyBorder="1" applyAlignment="1"/>
    <xf numFmtId="164" fontId="4" fillId="0" borderId="5" xfId="1" applyNumberFormat="1" applyFont="1" applyBorder="1" applyAlignment="1"/>
    <xf numFmtId="2" fontId="9" fillId="0" borderId="0" xfId="0" applyNumberFormat="1" applyFont="1" applyFill="1" applyBorder="1" applyAlignment="1">
      <alignment horizontal="center"/>
    </xf>
    <xf numFmtId="6" fontId="4" fillId="0" borderId="3" xfId="1" applyNumberFormat="1" applyFont="1" applyBorder="1" applyAlignment="1"/>
    <xf numFmtId="6" fontId="8" fillId="2" borderId="3" xfId="1" applyNumberFormat="1" applyFont="1" applyFill="1" applyBorder="1" applyAlignment="1"/>
    <xf numFmtId="2" fontId="4" fillId="0" borderId="0" xfId="0" applyNumberFormat="1" applyFont="1" applyBorder="1" applyAlignment="1"/>
    <xf numFmtId="2" fontId="4" fillId="0" borderId="6" xfId="0" applyNumberFormat="1" applyFont="1" applyBorder="1" applyAlignment="1"/>
    <xf numFmtId="164" fontId="4" fillId="0" borderId="7" xfId="1" applyNumberFormat="1" applyFont="1" applyBorder="1" applyAlignment="1"/>
    <xf numFmtId="164" fontId="4" fillId="0" borderId="0" xfId="1" applyNumberFormat="1" applyFont="1" applyBorder="1" applyAlignment="1"/>
    <xf numFmtId="164" fontId="4" fillId="0" borderId="0" xfId="1" applyNumberFormat="1" applyFont="1" applyAlignment="1"/>
    <xf numFmtId="2" fontId="8" fillId="0" borderId="3" xfId="0" applyNumberFormat="1" applyFont="1" applyBorder="1" applyAlignment="1">
      <alignment horizontal="left"/>
    </xf>
    <xf numFmtId="164" fontId="8" fillId="0" borderId="3" xfId="1" applyNumberFormat="1" applyFont="1" applyBorder="1" applyAlignment="1"/>
    <xf numFmtId="164" fontId="8" fillId="0" borderId="0" xfId="1" applyNumberFormat="1" applyFont="1" applyBorder="1" applyAlignment="1"/>
    <xf numFmtId="2" fontId="4" fillId="0" borderId="1" xfId="0" applyNumberFormat="1" applyFont="1" applyBorder="1" applyAlignment="1"/>
    <xf numFmtId="2" fontId="8" fillId="0" borderId="0" xfId="0" applyNumberFormat="1" applyFont="1" applyFill="1" applyBorder="1" applyAlignment="1">
      <alignment horizontal="right"/>
    </xf>
    <xf numFmtId="2" fontId="4" fillId="0" borderId="0" xfId="0" applyNumberFormat="1" applyFont="1" applyAlignment="1">
      <alignment horizontal="right"/>
    </xf>
    <xf numFmtId="2" fontId="4" fillId="0" borderId="0" xfId="0" applyNumberFormat="1" applyFont="1" applyFill="1" applyBorder="1" applyAlignment="1"/>
    <xf numFmtId="2" fontId="4" fillId="0" borderId="0" xfId="0" applyNumberFormat="1" applyFont="1" applyBorder="1" applyAlignment="1">
      <alignment horizontal="center"/>
    </xf>
    <xf numFmtId="2" fontId="4" fillId="0" borderId="0" xfId="0" applyNumberFormat="1" applyFont="1" applyFill="1" applyBorder="1" applyAlignment="1">
      <alignment horizontal="center"/>
    </xf>
    <xf numFmtId="2" fontId="11" fillId="0" borderId="0" xfId="0" applyNumberFormat="1" applyFont="1" applyBorder="1" applyAlignment="1">
      <alignment horizontal="left" vertical="center"/>
    </xf>
    <xf numFmtId="1" fontId="10" fillId="0" borderId="2" xfId="0" applyNumberFormat="1" applyFont="1" applyFill="1" applyBorder="1" applyAlignment="1">
      <alignment horizontal="center" vertical="center"/>
    </xf>
    <xf numFmtId="1" fontId="4" fillId="0" borderId="0" xfId="0" applyNumberFormat="1" applyFont="1" applyAlignment="1"/>
    <xf numFmtId="164" fontId="4" fillId="0" borderId="8" xfId="1" applyNumberFormat="1" applyFont="1" applyBorder="1" applyAlignment="1"/>
    <xf numFmtId="164" fontId="4" fillId="0" borderId="9" xfId="1" applyNumberFormat="1" applyFont="1" applyBorder="1" applyAlignment="1"/>
    <xf numFmtId="164" fontId="4" fillId="0" borderId="10" xfId="1" applyNumberFormat="1" applyFont="1" applyBorder="1" applyAlignment="1"/>
    <xf numFmtId="164" fontId="4" fillId="0" borderId="11" xfId="1" applyNumberFormat="1" applyFont="1" applyBorder="1" applyAlignment="1"/>
    <xf numFmtId="164" fontId="4" fillId="0" borderId="12" xfId="1" applyNumberFormat="1" applyFont="1" applyBorder="1" applyAlignment="1"/>
    <xf numFmtId="164" fontId="4" fillId="0" borderId="13" xfId="1" applyNumberFormat="1" applyFont="1" applyBorder="1" applyAlignment="1"/>
    <xf numFmtId="164" fontId="4" fillId="0" borderId="14" xfId="1" applyNumberFormat="1" applyFont="1" applyBorder="1" applyAlignment="1"/>
    <xf numFmtId="164" fontId="4" fillId="0" borderId="15" xfId="1" applyNumberFormat="1" applyFont="1" applyBorder="1" applyAlignment="1"/>
    <xf numFmtId="164" fontId="4" fillId="0" borderId="16" xfId="1" applyNumberFormat="1" applyFont="1" applyBorder="1" applyAlignment="1"/>
    <xf numFmtId="164" fontId="4" fillId="0" borderId="17" xfId="1" applyNumberFormat="1" applyFont="1" applyFill="1" applyBorder="1" applyAlignment="1"/>
    <xf numFmtId="164" fontId="4" fillId="0" borderId="18" xfId="1" applyNumberFormat="1" applyFont="1" applyFill="1" applyBorder="1" applyAlignment="1"/>
    <xf numFmtId="164" fontId="4" fillId="0" borderId="19" xfId="1" applyNumberFormat="1" applyFont="1" applyFill="1" applyBorder="1" applyAlignment="1"/>
    <xf numFmtId="164" fontId="4" fillId="0" borderId="20" xfId="1" applyNumberFormat="1" applyFont="1" applyFill="1" applyBorder="1" applyAlignment="1"/>
    <xf numFmtId="164" fontId="4" fillId="0" borderId="21" xfId="1" applyNumberFormat="1" applyFont="1" applyFill="1" applyBorder="1" applyAlignment="1"/>
    <xf numFmtId="164" fontId="4" fillId="0" borderId="22" xfId="1" applyNumberFormat="1" applyFont="1" applyFill="1" applyBorder="1" applyAlignment="1"/>
    <xf numFmtId="2" fontId="4" fillId="0" borderId="0" xfId="0" applyNumberFormat="1" applyFont="1" applyFill="1" applyAlignment="1"/>
    <xf numFmtId="2" fontId="12" fillId="0" borderId="0" xfId="0" applyNumberFormat="1" applyFont="1" applyAlignment="1"/>
    <xf numFmtId="165" fontId="4" fillId="0" borderId="0" xfId="2" applyNumberFormat="1" applyFont="1" applyAlignment="1"/>
    <xf numFmtId="166" fontId="4" fillId="0" borderId="0" xfId="0" applyNumberFormat="1" applyFont="1" applyBorder="1" applyAlignment="1"/>
    <xf numFmtId="1" fontId="10" fillId="0" borderId="0" xfId="0" applyNumberFormat="1" applyFont="1" applyFill="1" applyBorder="1" applyAlignment="1">
      <alignment horizontal="right" vertical="center"/>
    </xf>
    <xf numFmtId="164" fontId="4" fillId="0" borderId="0" xfId="1" applyNumberFormat="1" applyFont="1" applyFill="1" applyBorder="1" applyAlignment="1"/>
    <xf numFmtId="167" fontId="4" fillId="0" borderId="0" xfId="0" applyNumberFormat="1" applyFont="1" applyBorder="1" applyAlignment="1"/>
    <xf numFmtId="2" fontId="13" fillId="0" borderId="0" xfId="0" applyNumberFormat="1" applyFont="1" applyFill="1" applyBorder="1" applyAlignment="1">
      <alignment horizontal="left"/>
    </xf>
    <xf numFmtId="1" fontId="14" fillId="0" borderId="0" xfId="0" applyNumberFormat="1" applyFont="1" applyFill="1" applyAlignment="1">
      <alignment wrapText="1"/>
    </xf>
    <xf numFmtId="1" fontId="2" fillId="0" borderId="0" xfId="0" applyNumberFormat="1" applyFont="1" applyFill="1" applyBorder="1" applyAlignment="1">
      <alignment horizontal="center" wrapText="1"/>
    </xf>
    <xf numFmtId="1" fontId="14" fillId="0" borderId="0" xfId="0" applyNumberFormat="1" applyFont="1" applyFill="1" applyAlignment="1"/>
    <xf numFmtId="168" fontId="16" fillId="0" borderId="0" xfId="1" applyNumberFormat="1" applyFont="1" applyFill="1" applyAlignment="1">
      <alignment horizontal="center"/>
    </xf>
    <xf numFmtId="168" fontId="17" fillId="0" borderId="0" xfId="0" applyNumberFormat="1" applyFont="1" applyFill="1" applyBorder="1" applyAlignment="1">
      <alignment horizontal="centerContinuous"/>
    </xf>
    <xf numFmtId="1" fontId="14" fillId="0" borderId="0" xfId="0" applyNumberFormat="1" applyFont="1" applyFill="1" applyBorder="1" applyAlignment="1">
      <alignment horizontal="centerContinuous"/>
    </xf>
    <xf numFmtId="43" fontId="14" fillId="0" borderId="0" xfId="1" applyFont="1" applyFill="1" applyAlignment="1"/>
    <xf numFmtId="1" fontId="1" fillId="0" borderId="0" xfId="0" applyNumberFormat="1" applyFont="1" applyFill="1" applyBorder="1" applyAlignment="1">
      <alignment vertical="center"/>
    </xf>
    <xf numFmtId="2" fontId="14" fillId="0" borderId="0" xfId="0" applyNumberFormat="1" applyFont="1" applyFill="1" applyBorder="1" applyAlignment="1">
      <alignment horizontal="center" vertical="center"/>
    </xf>
    <xf numFmtId="1" fontId="14" fillId="0" borderId="0" xfId="0" applyNumberFormat="1" applyFont="1" applyFill="1" applyBorder="1" applyAlignment="1"/>
    <xf numFmtId="43" fontId="14" fillId="0" borderId="0" xfId="1" applyFont="1" applyFill="1" applyBorder="1" applyAlignment="1"/>
    <xf numFmtId="168" fontId="17" fillId="4" borderId="3" xfId="0" applyNumberFormat="1" applyFont="1" applyFill="1" applyBorder="1" applyAlignment="1">
      <alignment horizontal="center"/>
    </xf>
    <xf numFmtId="168" fontId="17" fillId="0" borderId="0" xfId="0" applyNumberFormat="1" applyFont="1" applyFill="1" applyBorder="1" applyAlignment="1">
      <alignment horizontal="center"/>
    </xf>
    <xf numFmtId="164" fontId="14" fillId="0" borderId="0" xfId="1" applyNumberFormat="1" applyFont="1" applyFill="1" applyBorder="1" applyAlignment="1">
      <alignment horizontal="center" vertical="center"/>
    </xf>
    <xf numFmtId="1" fontId="2" fillId="0" borderId="0" xfId="0" applyNumberFormat="1" applyFont="1" applyFill="1" applyBorder="1" applyAlignment="1">
      <alignment horizontal="center"/>
    </xf>
    <xf numFmtId="1" fontId="2" fillId="0" borderId="0" xfId="0" applyNumberFormat="1" applyFont="1" applyFill="1" applyAlignment="1">
      <alignment horizontal="center"/>
    </xf>
    <xf numFmtId="164" fontId="2" fillId="5" borderId="8" xfId="1" applyNumberFormat="1" applyFont="1" applyFill="1" applyBorder="1" applyAlignment="1"/>
    <xf numFmtId="164" fontId="2" fillId="5" borderId="9" xfId="1" applyNumberFormat="1" applyFont="1" applyFill="1" applyBorder="1" applyAlignment="1"/>
    <xf numFmtId="164" fontId="2" fillId="6" borderId="9" xfId="1" applyNumberFormat="1" applyFont="1" applyFill="1" applyBorder="1" applyAlignment="1"/>
    <xf numFmtId="164" fontId="2" fillId="4" borderId="23" xfId="1" applyNumberFormat="1" applyFont="1" applyFill="1" applyBorder="1" applyAlignment="1">
      <alignment horizontal="center" wrapText="1"/>
    </xf>
    <xf numFmtId="164" fontId="2" fillId="5" borderId="11" xfId="1" applyNumberFormat="1" applyFont="1" applyFill="1" applyBorder="1" applyAlignment="1"/>
    <xf numFmtId="164" fontId="2" fillId="5" borderId="12" xfId="1" applyNumberFormat="1" applyFont="1" applyFill="1" applyBorder="1" applyAlignment="1"/>
    <xf numFmtId="164" fontId="2" fillId="6" borderId="12" xfId="1" applyNumberFormat="1" applyFont="1" applyFill="1" applyBorder="1" applyAlignment="1"/>
    <xf numFmtId="164" fontId="2" fillId="4" borderId="7" xfId="1" applyNumberFormat="1" applyFont="1" applyFill="1" applyBorder="1" applyAlignment="1">
      <alignment horizontal="center" wrapText="1"/>
    </xf>
    <xf numFmtId="164" fontId="2" fillId="5" borderId="14" xfId="1" applyNumberFormat="1" applyFont="1" applyFill="1" applyBorder="1" applyAlignment="1"/>
    <xf numFmtId="164" fontId="2" fillId="5" borderId="15" xfId="1" applyNumberFormat="1" applyFont="1" applyFill="1" applyBorder="1" applyAlignment="1"/>
    <xf numFmtId="164" fontId="1" fillId="5" borderId="12" xfId="1" applyNumberFormat="1" applyFont="1" applyFill="1" applyBorder="1" applyAlignment="1"/>
    <xf numFmtId="164" fontId="1" fillId="5" borderId="13" xfId="1" applyNumberFormat="1" applyFont="1" applyFill="1" applyBorder="1" applyAlignment="1"/>
    <xf numFmtId="164" fontId="2" fillId="5" borderId="17" xfId="1" applyNumberFormat="1" applyFont="1" applyFill="1" applyBorder="1" applyAlignment="1"/>
    <xf numFmtId="164" fontId="2" fillId="5" borderId="18" xfId="1" applyNumberFormat="1" applyFont="1" applyFill="1" applyBorder="1" applyAlignment="1"/>
    <xf numFmtId="164" fontId="2" fillId="6" borderId="18" xfId="1" applyNumberFormat="1" applyFont="1" applyFill="1" applyBorder="1" applyAlignment="1"/>
    <xf numFmtId="164" fontId="2" fillId="4" borderId="24" xfId="1" applyNumberFormat="1" applyFont="1" applyFill="1" applyBorder="1" applyAlignment="1">
      <alignment horizontal="center" wrapText="1"/>
    </xf>
    <xf numFmtId="164" fontId="2" fillId="0" borderId="0" xfId="1" applyNumberFormat="1" applyFont="1" applyFill="1" applyBorder="1" applyAlignment="1"/>
    <xf numFmtId="164" fontId="1" fillId="0" borderId="0" xfId="1" applyNumberFormat="1" applyFont="1" applyFill="1" applyBorder="1" applyAlignment="1"/>
    <xf numFmtId="164" fontId="2" fillId="0" borderId="0" xfId="1" applyNumberFormat="1" applyFont="1" applyFill="1" applyBorder="1" applyAlignment="1">
      <alignment horizontal="center" wrapText="1"/>
    </xf>
    <xf numFmtId="1" fontId="1" fillId="0" borderId="0" xfId="0" applyNumberFormat="1" applyFont="1" applyFill="1" applyAlignment="1">
      <alignment wrapText="1"/>
    </xf>
    <xf numFmtId="164" fontId="16" fillId="0" borderId="26" xfId="1" applyNumberFormat="1" applyFont="1" applyFill="1" applyBorder="1" applyAlignment="1"/>
    <xf numFmtId="164" fontId="2" fillId="6" borderId="23" xfId="1" applyNumberFormat="1" applyFont="1" applyFill="1" applyBorder="1" applyAlignment="1">
      <alignment horizontal="center" wrapText="1"/>
    </xf>
    <xf numFmtId="164" fontId="2" fillId="0" borderId="6" xfId="1" applyNumberFormat="1" applyFont="1" applyFill="1" applyBorder="1" applyAlignment="1"/>
    <xf numFmtId="164" fontId="16" fillId="0" borderId="27" xfId="1" applyNumberFormat="1" applyFont="1" applyFill="1" applyBorder="1" applyAlignment="1"/>
    <xf numFmtId="1" fontId="14" fillId="0" borderId="27" xfId="0" applyNumberFormat="1" applyFont="1" applyFill="1" applyBorder="1" applyAlignment="1">
      <alignment wrapText="1"/>
    </xf>
    <xf numFmtId="164" fontId="14" fillId="0" borderId="26" xfId="1" applyNumberFormat="1" applyFont="1" applyFill="1" applyBorder="1" applyAlignment="1"/>
    <xf numFmtId="164" fontId="2" fillId="6" borderId="5" xfId="1" applyNumberFormat="1" applyFont="1" applyFill="1" applyBorder="1" applyAlignment="1">
      <alignment horizontal="center" wrapText="1"/>
    </xf>
    <xf numFmtId="164" fontId="1" fillId="0" borderId="27" xfId="1" applyNumberFormat="1" applyFont="1" applyFill="1" applyBorder="1" applyAlignment="1"/>
    <xf numFmtId="1" fontId="1" fillId="0" borderId="27" xfId="0" applyNumberFormat="1" applyFont="1" applyFill="1" applyBorder="1" applyAlignment="1">
      <alignment wrapText="1"/>
    </xf>
    <xf numFmtId="1" fontId="1" fillId="0" borderId="26" xfId="0" applyNumberFormat="1" applyFont="1" applyFill="1" applyBorder="1" applyAlignment="1">
      <alignment wrapText="1"/>
    </xf>
    <xf numFmtId="164" fontId="2" fillId="6" borderId="5" xfId="1" applyNumberFormat="1" applyFont="1" applyFill="1" applyBorder="1" applyAlignment="1"/>
    <xf numFmtId="1" fontId="1" fillId="0" borderId="0" xfId="0" applyNumberFormat="1" applyFont="1" applyFill="1" applyAlignment="1">
      <alignment horizontal="left" wrapText="1"/>
    </xf>
    <xf numFmtId="164" fontId="16" fillId="0" borderId="29" xfId="1" applyNumberFormat="1" applyFont="1" applyFill="1" applyBorder="1" applyAlignment="1"/>
    <xf numFmtId="164" fontId="2" fillId="6" borderId="7" xfId="1" applyNumberFormat="1" applyFont="1" applyFill="1" applyBorder="1" applyAlignment="1">
      <alignment horizontal="center" wrapText="1"/>
    </xf>
    <xf numFmtId="164" fontId="16" fillId="0" borderId="30" xfId="1" applyNumberFormat="1" applyFont="1" applyFill="1" applyBorder="1" applyAlignment="1"/>
    <xf numFmtId="164" fontId="14" fillId="0" borderId="29" xfId="1" applyNumberFormat="1" applyFont="1" applyFill="1" applyBorder="1" applyAlignment="1"/>
    <xf numFmtId="164" fontId="1" fillId="0" borderId="30" xfId="1" applyNumberFormat="1" applyFont="1" applyFill="1" applyBorder="1" applyAlignment="1"/>
    <xf numFmtId="1" fontId="1" fillId="0" borderId="30" xfId="0" applyNumberFormat="1" applyFont="1" applyFill="1" applyBorder="1" applyAlignment="1">
      <alignment wrapText="1"/>
    </xf>
    <xf numFmtId="1" fontId="1" fillId="0" borderId="29" xfId="0" applyNumberFormat="1" applyFont="1" applyFill="1" applyBorder="1" applyAlignment="1">
      <alignment wrapText="1"/>
    </xf>
    <xf numFmtId="164" fontId="2" fillId="6" borderId="7" xfId="1" applyNumberFormat="1" applyFont="1" applyFill="1" applyBorder="1" applyAlignment="1"/>
    <xf numFmtId="1" fontId="14" fillId="0" borderId="30" xfId="0" applyNumberFormat="1" applyFont="1" applyFill="1" applyBorder="1" applyAlignment="1">
      <alignment wrapText="1"/>
    </xf>
    <xf numFmtId="164" fontId="16" fillId="0" borderId="32" xfId="1" applyNumberFormat="1" applyFont="1" applyFill="1" applyBorder="1" applyAlignment="1"/>
    <xf numFmtId="164" fontId="2" fillId="6" borderId="24" xfId="1" applyNumberFormat="1" applyFont="1" applyFill="1" applyBorder="1" applyAlignment="1">
      <alignment horizontal="center" wrapText="1"/>
    </xf>
    <xf numFmtId="164" fontId="2" fillId="6" borderId="33" xfId="1" applyNumberFormat="1" applyFont="1" applyFill="1" applyBorder="1" applyAlignment="1"/>
    <xf numFmtId="1" fontId="1" fillId="0" borderId="0" xfId="0" applyNumberFormat="1" applyFont="1" applyFill="1" applyBorder="1" applyAlignment="1">
      <alignment wrapText="1"/>
    </xf>
    <xf numFmtId="164" fontId="2" fillId="6" borderId="34" xfId="1" applyNumberFormat="1" applyFont="1" applyFill="1" applyBorder="1" applyAlignment="1">
      <alignment horizontal="center" wrapText="1"/>
    </xf>
    <xf numFmtId="164" fontId="16" fillId="0" borderId="35" xfId="1" applyNumberFormat="1" applyFont="1" applyFill="1" applyBorder="1" applyAlignment="1"/>
    <xf numFmtId="1" fontId="14" fillId="0" borderId="35" xfId="0" applyNumberFormat="1" applyFont="1" applyFill="1" applyBorder="1" applyAlignment="1">
      <alignment wrapText="1"/>
    </xf>
    <xf numFmtId="164" fontId="14" fillId="0" borderId="32" xfId="1" applyNumberFormat="1" applyFont="1" applyFill="1" applyBorder="1" applyAlignment="1"/>
    <xf numFmtId="164" fontId="2" fillId="6" borderId="33" xfId="1" applyNumberFormat="1" applyFont="1" applyFill="1" applyBorder="1" applyAlignment="1">
      <alignment horizontal="center" wrapText="1"/>
    </xf>
    <xf numFmtId="164" fontId="1" fillId="0" borderId="35" xfId="1" applyNumberFormat="1" applyFont="1" applyFill="1" applyBorder="1" applyAlignment="1"/>
    <xf numFmtId="1" fontId="1" fillId="0" borderId="35" xfId="0" applyNumberFormat="1" applyFont="1" applyFill="1" applyBorder="1" applyAlignment="1">
      <alignment wrapText="1"/>
    </xf>
    <xf numFmtId="1" fontId="1" fillId="0" borderId="32" xfId="0" applyNumberFormat="1" applyFont="1" applyFill="1" applyBorder="1" applyAlignment="1">
      <alignment wrapText="1"/>
    </xf>
    <xf numFmtId="1" fontId="14" fillId="0" borderId="26" xfId="0" applyNumberFormat="1" applyFont="1" applyFill="1" applyBorder="1" applyAlignment="1">
      <alignment wrapText="1"/>
    </xf>
    <xf numFmtId="1" fontId="14" fillId="0" borderId="29" xfId="0" applyNumberFormat="1" applyFont="1" applyFill="1" applyBorder="1" applyAlignment="1">
      <alignment wrapText="1"/>
    </xf>
    <xf numFmtId="1" fontId="2" fillId="0" borderId="0" xfId="0" applyNumberFormat="1" applyFont="1" applyFill="1" applyAlignment="1"/>
    <xf numFmtId="1" fontId="14" fillId="0" borderId="32" xfId="0" applyNumberFormat="1" applyFont="1" applyFill="1" applyBorder="1" applyAlignment="1">
      <alignment wrapText="1"/>
    </xf>
    <xf numFmtId="1" fontId="1" fillId="0" borderId="37" xfId="0" applyNumberFormat="1" applyFont="1" applyFill="1" applyBorder="1" applyAlignment="1">
      <alignment wrapText="1"/>
    </xf>
    <xf numFmtId="164" fontId="2" fillId="6" borderId="3" xfId="1" applyNumberFormat="1" applyFont="1" applyFill="1" applyBorder="1" applyAlignment="1">
      <alignment horizontal="center" wrapText="1"/>
    </xf>
    <xf numFmtId="169" fontId="15" fillId="0" borderId="0" xfId="0" applyNumberFormat="1" applyFont="1" applyFill="1" applyAlignment="1">
      <alignment horizontal="left"/>
    </xf>
    <xf numFmtId="169" fontId="14" fillId="0" borderId="0" xfId="0" applyNumberFormat="1" applyFont="1" applyFill="1" applyAlignment="1"/>
    <xf numFmtId="169" fontId="17" fillId="0" borderId="3" xfId="0" applyNumberFormat="1" applyFont="1" applyFill="1" applyBorder="1" applyAlignment="1">
      <alignment horizontal="center"/>
    </xf>
    <xf numFmtId="169" fontId="18" fillId="0" borderId="0" xfId="0" applyNumberFormat="1" applyFont="1" applyFill="1" applyBorder="1" applyAlignment="1">
      <alignment horizontal="left" wrapText="1"/>
    </xf>
    <xf numFmtId="169" fontId="2" fillId="0" borderId="2" xfId="0" applyNumberFormat="1" applyFont="1" applyFill="1" applyBorder="1" applyAlignment="1"/>
    <xf numFmtId="169" fontId="1" fillId="0" borderId="5" xfId="0" applyNumberFormat="1" applyFont="1" applyFill="1" applyBorder="1" applyAlignment="1"/>
    <xf numFmtId="169" fontId="1" fillId="0" borderId="7" xfId="0" applyNumberFormat="1" applyFont="1" applyFill="1" applyBorder="1" applyAlignment="1"/>
    <xf numFmtId="169" fontId="1" fillId="0" borderId="1" xfId="0" applyNumberFormat="1" applyFont="1" applyFill="1" applyBorder="1" applyAlignment="1"/>
    <xf numFmtId="169" fontId="2" fillId="0" borderId="0" xfId="0" applyNumberFormat="1" applyFont="1" applyFill="1" applyBorder="1" applyAlignment="1"/>
    <xf numFmtId="169" fontId="14" fillId="0" borderId="25" xfId="0" applyNumberFormat="1" applyFont="1" applyFill="1" applyBorder="1" applyAlignment="1"/>
    <xf numFmtId="169" fontId="1" fillId="0" borderId="25" xfId="0" applyNumberFormat="1" applyFont="1" applyFill="1" applyBorder="1" applyAlignment="1"/>
    <xf numFmtId="169" fontId="14" fillId="0" borderId="28" xfId="0" applyNumberFormat="1" applyFont="1" applyFill="1" applyBorder="1" applyAlignment="1"/>
    <xf numFmtId="169" fontId="14" fillId="0" borderId="30" xfId="0" applyNumberFormat="1" applyFont="1" applyFill="1" applyBorder="1" applyAlignment="1"/>
    <xf numFmtId="169" fontId="1" fillId="0" borderId="28" xfId="0" applyNumberFormat="1" applyFont="1" applyFill="1" applyBorder="1" applyAlignment="1"/>
    <xf numFmtId="169" fontId="14" fillId="0" borderId="31" xfId="0" applyNumberFormat="1" applyFont="1" applyFill="1" applyBorder="1" applyAlignment="1"/>
    <xf numFmtId="169" fontId="1" fillId="0" borderId="31" xfId="0" applyNumberFormat="1" applyFont="1" applyFill="1" applyBorder="1" applyAlignment="1"/>
    <xf numFmtId="169" fontId="2" fillId="0" borderId="31" xfId="0" applyNumberFormat="1" applyFont="1" applyFill="1" applyBorder="1" applyAlignment="1"/>
    <xf numFmtId="169" fontId="1" fillId="0" borderId="0" xfId="0" applyNumberFormat="1" applyFont="1" applyFill="1" applyAlignment="1"/>
    <xf numFmtId="169" fontId="14" fillId="0" borderId="29" xfId="0" applyNumberFormat="1" applyFont="1" applyFill="1" applyBorder="1" applyAlignment="1"/>
    <xf numFmtId="169" fontId="1" fillId="0" borderId="36" xfId="0" applyNumberFormat="1" applyFont="1" applyFill="1" applyBorder="1" applyAlignment="1"/>
    <xf numFmtId="2" fontId="21" fillId="0" borderId="0" xfId="0" applyNumberFormat="1" applyFont="1" applyBorder="1" applyAlignment="1"/>
    <xf numFmtId="2" fontId="3" fillId="0" borderId="0" xfId="0" applyNumberFormat="1" applyFont="1" applyBorder="1" applyAlignment="1"/>
    <xf numFmtId="164" fontId="0" fillId="0" borderId="0" xfId="1" applyNumberFormat="1" applyFont="1"/>
    <xf numFmtId="0" fontId="0" fillId="0" borderId="36" xfId="0" applyBorder="1"/>
    <xf numFmtId="0" fontId="0" fillId="0" borderId="3" xfId="0" applyBorder="1"/>
    <xf numFmtId="14" fontId="0" fillId="0" borderId="0" xfId="0" applyNumberFormat="1"/>
    <xf numFmtId="0" fontId="0" fillId="0" borderId="0" xfId="2" applyNumberFormat="1" applyFont="1"/>
    <xf numFmtId="0" fontId="2" fillId="0" borderId="0" xfId="0" applyFont="1"/>
    <xf numFmtId="2" fontId="22" fillId="0" borderId="0" xfId="0" applyNumberFormat="1" applyFont="1" applyFill="1" applyBorder="1" applyAlignment="1"/>
    <xf numFmtId="0" fontId="2" fillId="3" borderId="0" xfId="0" applyFont="1" applyFill="1"/>
    <xf numFmtId="6" fontId="2" fillId="3" borderId="0" xfId="0" applyNumberFormat="1" applyFont="1" applyFill="1"/>
    <xf numFmtId="170" fontId="0" fillId="0" borderId="0" xfId="0" applyNumberFormat="1"/>
    <xf numFmtId="168" fontId="17" fillId="0" borderId="0" xfId="0" applyNumberFormat="1" applyFont="1" applyFill="1" applyBorder="1" applyAlignment="1">
      <alignment horizontal="center"/>
    </xf>
    <xf numFmtId="1" fontId="14" fillId="0" borderId="0" xfId="0" applyNumberFormat="1" applyFont="1" applyFill="1" applyBorder="1" applyAlignment="1">
      <alignment horizontal="center"/>
    </xf>
    <xf numFmtId="168" fontId="17" fillId="0" borderId="0" xfId="0" applyNumberFormat="1" applyFont="1" applyFill="1" applyBorder="1" applyAlignment="1">
      <alignment horizontal="center"/>
    </xf>
    <xf numFmtId="164" fontId="1" fillId="0" borderId="0" xfId="0" applyNumberFormat="1" applyFont="1" applyFill="1" applyAlignment="1">
      <alignment wrapText="1"/>
    </xf>
    <xf numFmtId="164" fontId="1" fillId="0" borderId="0" xfId="0" applyNumberFormat="1" applyFont="1" applyFill="1" applyAlignment="1"/>
    <xf numFmtId="169" fontId="1" fillId="0" borderId="0" xfId="0" applyNumberFormat="1" applyFont="1" applyFill="1" applyAlignment="1">
      <alignment wrapText="1"/>
    </xf>
    <xf numFmtId="1" fontId="1" fillId="0" borderId="0" xfId="1" applyNumberFormat="1" applyFont="1" applyFill="1" applyBorder="1" applyAlignment="1"/>
    <xf numFmtId="2" fontId="0" fillId="3" borderId="0" xfId="0" applyNumberFormat="1" applyFill="1"/>
    <xf numFmtId="171" fontId="0" fillId="0" borderId="0" xfId="3" applyNumberFormat="1" applyFont="1"/>
    <xf numFmtId="0" fontId="2" fillId="3" borderId="38" xfId="0" applyFont="1" applyFill="1" applyBorder="1"/>
    <xf numFmtId="0" fontId="2" fillId="3" borderId="40" xfId="0" applyFont="1" applyFill="1" applyBorder="1"/>
    <xf numFmtId="0" fontId="2" fillId="3" borderId="42" xfId="0" applyFont="1" applyFill="1" applyBorder="1"/>
    <xf numFmtId="44" fontId="2" fillId="3" borderId="44" xfId="2" applyNumberFormat="1" applyFont="1" applyFill="1" applyBorder="1"/>
    <xf numFmtId="44" fontId="2" fillId="3" borderId="45" xfId="2" applyNumberFormat="1" applyFont="1" applyFill="1" applyBorder="1"/>
    <xf numFmtId="44" fontId="2" fillId="3" borderId="46" xfId="2" applyNumberFormat="1" applyFont="1" applyFill="1" applyBorder="1"/>
    <xf numFmtId="8" fontId="2" fillId="3" borderId="39" xfId="0" applyNumberFormat="1" applyFont="1" applyFill="1" applyBorder="1"/>
    <xf numFmtId="8" fontId="2" fillId="3" borderId="41" xfId="0" applyNumberFormat="1" applyFont="1" applyFill="1" applyBorder="1"/>
    <xf numFmtId="8" fontId="2" fillId="3" borderId="43" xfId="0" applyNumberFormat="1" applyFont="1" applyFill="1" applyBorder="1"/>
    <xf numFmtId="44" fontId="0" fillId="0" borderId="0" xfId="2" applyFont="1"/>
    <xf numFmtId="0" fontId="2" fillId="0" borderId="0" xfId="0" applyFont="1" applyFill="1"/>
    <xf numFmtId="6" fontId="2" fillId="0" borderId="0" xfId="0" applyNumberFormat="1" applyFont="1" applyFill="1"/>
    <xf numFmtId="168" fontId="17" fillId="0" borderId="0" xfId="0" applyNumberFormat="1" applyFont="1" applyFill="1" applyBorder="1" applyAlignment="1">
      <alignment horizontal="center"/>
    </xf>
    <xf numFmtId="2" fontId="22" fillId="0" borderId="0" xfId="0" applyNumberFormat="1" applyFont="1" applyAlignment="1"/>
    <xf numFmtId="164" fontId="22" fillId="0" borderId="0" xfId="1" applyNumberFormat="1" applyFont="1" applyAlignment="1"/>
    <xf numFmtId="169" fontId="0" fillId="0" borderId="0" xfId="0" applyNumberFormat="1" applyFont="1" applyFill="1" applyBorder="1" applyAlignment="1"/>
    <xf numFmtId="170" fontId="2" fillId="0" borderId="0" xfId="0" applyNumberFormat="1" applyFont="1"/>
    <xf numFmtId="0" fontId="0" fillId="0" borderId="38" xfId="0" applyBorder="1"/>
    <xf numFmtId="0" fontId="0" fillId="0" borderId="47" xfId="0" applyBorder="1"/>
    <xf numFmtId="164" fontId="0" fillId="0" borderId="3" xfId="1" applyNumberFormat="1" applyFont="1" applyBorder="1"/>
    <xf numFmtId="164" fontId="0" fillId="0" borderId="36" xfId="1" applyNumberFormat="1" applyFont="1" applyBorder="1"/>
    <xf numFmtId="164" fontId="0" fillId="0" borderId="3" xfId="0" applyNumberFormat="1" applyBorder="1"/>
    <xf numFmtId="0" fontId="0" fillId="0" borderId="48" xfId="0" applyBorder="1"/>
    <xf numFmtId="0" fontId="0" fillId="0" borderId="49" xfId="0" applyBorder="1"/>
    <xf numFmtId="0" fontId="0" fillId="0" borderId="50" xfId="0" applyBorder="1"/>
    <xf numFmtId="10" fontId="0" fillId="0" borderId="51" xfId="3" applyNumberFormat="1" applyFont="1" applyBorder="1"/>
    <xf numFmtId="0" fontId="0" fillId="0" borderId="52" xfId="0" applyBorder="1"/>
    <xf numFmtId="164" fontId="0" fillId="0" borderId="53" xfId="1" applyNumberFormat="1" applyFont="1" applyBorder="1"/>
    <xf numFmtId="164" fontId="0" fillId="0" borderId="54" xfId="1" applyNumberFormat="1" applyFont="1" applyBorder="1"/>
    <xf numFmtId="164" fontId="0" fillId="0" borderId="53" xfId="0" applyNumberFormat="1" applyBorder="1"/>
    <xf numFmtId="10" fontId="0" fillId="0" borderId="55" xfId="3" applyNumberFormat="1" applyFont="1" applyBorder="1"/>
    <xf numFmtId="165" fontId="0" fillId="0" borderId="0" xfId="2" applyNumberFormat="1" applyFont="1"/>
    <xf numFmtId="165" fontId="0" fillId="0" borderId="0" xfId="0" applyNumberFormat="1"/>
    <xf numFmtId="8" fontId="0" fillId="0" borderId="0" xfId="0" applyNumberFormat="1"/>
    <xf numFmtId="0" fontId="0" fillId="0" borderId="0" xfId="0" applyAlignment="1">
      <alignment horizontal="center"/>
    </xf>
    <xf numFmtId="43" fontId="0" fillId="0" borderId="0" xfId="1" applyFont="1"/>
    <xf numFmtId="10" fontId="0" fillId="0" borderId="0" xfId="3" applyNumberFormat="1" applyFont="1"/>
    <xf numFmtId="0" fontId="0" fillId="0" borderId="56" xfId="0" applyBorder="1"/>
    <xf numFmtId="0" fontId="0" fillId="0" borderId="56" xfId="0" applyBorder="1" applyAlignment="1">
      <alignment horizontal="center"/>
    </xf>
    <xf numFmtId="0" fontId="0" fillId="0" borderId="2" xfId="0" applyBorder="1"/>
    <xf numFmtId="0" fontId="0" fillId="0" borderId="4" xfId="0" applyBorder="1"/>
    <xf numFmtId="0" fontId="0" fillId="0" borderId="1" xfId="0" applyBorder="1"/>
    <xf numFmtId="0" fontId="0" fillId="0" borderId="6" xfId="0" applyBorder="1"/>
    <xf numFmtId="0" fontId="0" fillId="0" borderId="0" xfId="0" applyBorder="1"/>
    <xf numFmtId="44" fontId="0" fillId="0" borderId="58" xfId="2" applyFont="1" applyBorder="1"/>
    <xf numFmtId="0" fontId="0" fillId="0" borderId="59" xfId="0" applyBorder="1"/>
    <xf numFmtId="44" fontId="0" fillId="0" borderId="60" xfId="0" applyNumberFormat="1" applyBorder="1"/>
    <xf numFmtId="171" fontId="0" fillId="0" borderId="0" xfId="3" applyNumberFormat="1" applyFont="1" applyAlignment="1">
      <alignment horizontal="center"/>
    </xf>
    <xf numFmtId="10" fontId="0" fillId="0" borderId="0" xfId="0" applyNumberFormat="1" applyAlignment="1">
      <alignment horizontal="center"/>
    </xf>
    <xf numFmtId="10" fontId="0" fillId="0" borderId="0" xfId="3" applyNumberFormat="1" applyFont="1" applyAlignment="1">
      <alignment horizontal="center"/>
    </xf>
    <xf numFmtId="6" fontId="0" fillId="0" borderId="0" xfId="0" applyNumberFormat="1" applyBorder="1" applyAlignment="1">
      <alignment horizontal="center"/>
    </xf>
    <xf numFmtId="164" fontId="26" fillId="0" borderId="58" xfId="1" applyNumberFormat="1" applyFont="1" applyBorder="1"/>
    <xf numFmtId="172" fontId="27" fillId="0" borderId="58" xfId="3" applyNumberFormat="1" applyFont="1" applyBorder="1"/>
    <xf numFmtId="165" fontId="25" fillId="0" borderId="0" xfId="2" applyNumberFormat="1" applyFont="1"/>
    <xf numFmtId="165" fontId="25" fillId="0" borderId="0" xfId="0" applyNumberFormat="1" applyFont="1"/>
    <xf numFmtId="0" fontId="25" fillId="0" borderId="0" xfId="0" applyFont="1"/>
    <xf numFmtId="0" fontId="0" fillId="0" borderId="0" xfId="0" applyBorder="1" applyAlignment="1">
      <alignment horizontal="center"/>
    </xf>
    <xf numFmtId="0" fontId="0" fillId="0" borderId="0" xfId="0" applyFill="1" applyBorder="1" applyAlignment="1">
      <alignment horizontal="center"/>
    </xf>
    <xf numFmtId="165" fontId="0" fillId="0" borderId="57" xfId="2" applyNumberFormat="1" applyFont="1" applyBorder="1"/>
    <xf numFmtId="0" fontId="28" fillId="0" borderId="0" xfId="0" applyFont="1"/>
    <xf numFmtId="0" fontId="2" fillId="0" borderId="36" xfId="0" applyFont="1" applyBorder="1" applyAlignment="1">
      <alignment horizontal="centerContinuous"/>
    </xf>
    <xf numFmtId="0" fontId="29" fillId="0" borderId="37" xfId="0" applyFont="1" applyBorder="1" applyAlignment="1">
      <alignment horizontal="centerContinuous"/>
    </xf>
    <xf numFmtId="0" fontId="0" fillId="0" borderId="61" xfId="0" applyBorder="1" applyAlignment="1">
      <alignment horizontal="centerContinuous"/>
    </xf>
    <xf numFmtId="2" fontId="0" fillId="0" borderId="0" xfId="0" applyNumberFormat="1"/>
    <xf numFmtId="173" fontId="0" fillId="0" borderId="0" xfId="0" applyNumberFormat="1"/>
    <xf numFmtId="173" fontId="2" fillId="0" borderId="0" xfId="0" applyNumberFormat="1" applyFont="1"/>
    <xf numFmtId="164" fontId="31" fillId="0" borderId="0" xfId="4" applyNumberFormat="1" applyFont="1" applyFill="1" applyBorder="1"/>
    <xf numFmtId="0" fontId="32" fillId="0" borderId="0" xfId="5" applyFont="1" applyFill="1" applyBorder="1" applyAlignment="1">
      <alignment horizontal="center"/>
    </xf>
    <xf numFmtId="165" fontId="32" fillId="0" borderId="0" xfId="5" applyNumberFormat="1" applyFont="1" applyFill="1" applyBorder="1" applyAlignment="1">
      <alignment horizontal="center"/>
    </xf>
    <xf numFmtId="164" fontId="33" fillId="0" borderId="0" xfId="4" applyNumberFormat="1" applyFont="1" applyFill="1" applyBorder="1"/>
    <xf numFmtId="0" fontId="34" fillId="0" borderId="0" xfId="5" applyFont="1" applyFill="1" applyAlignment="1">
      <alignment horizontal="center"/>
    </xf>
    <xf numFmtId="0" fontId="34" fillId="0" borderId="0" xfId="5" applyFont="1" applyAlignment="1">
      <alignment horizontal="center"/>
    </xf>
    <xf numFmtId="173" fontId="30" fillId="0" borderId="0" xfId="6" applyNumberFormat="1" applyFont="1" applyFill="1"/>
    <xf numFmtId="171" fontId="35" fillId="3" borderId="0" xfId="3" applyNumberFormat="1" applyFont="1" applyFill="1" applyAlignment="1">
      <alignment horizontal="right"/>
    </xf>
    <xf numFmtId="171" fontId="35" fillId="7" borderId="0" xfId="3" applyNumberFormat="1" applyFont="1" applyFill="1" applyAlignment="1">
      <alignment horizontal="right"/>
    </xf>
    <xf numFmtId="164" fontId="30" fillId="0" borderId="0" xfId="1" applyNumberFormat="1" applyFont="1" applyFill="1"/>
    <xf numFmtId="173" fontId="30" fillId="0" borderId="0" xfId="6" applyNumberFormat="1" applyFont="1" applyFill="1" applyAlignment="1">
      <alignment wrapText="1"/>
    </xf>
    <xf numFmtId="165" fontId="30" fillId="0" borderId="37" xfId="5" applyNumberFormat="1" applyFont="1" applyFill="1" applyBorder="1" applyAlignment="1">
      <alignment horizontal="center"/>
    </xf>
    <xf numFmtId="9" fontId="30" fillId="0" borderId="37" xfId="3" applyFont="1" applyFill="1" applyBorder="1" applyAlignment="1">
      <alignment horizontal="right"/>
    </xf>
    <xf numFmtId="173" fontId="30" fillId="0" borderId="37" xfId="5" applyNumberFormat="1" applyBorder="1"/>
    <xf numFmtId="164" fontId="30" fillId="0" borderId="0" xfId="5" applyNumberFormat="1"/>
    <xf numFmtId="0" fontId="30" fillId="0" borderId="0" xfId="5" applyFont="1" applyFill="1"/>
    <xf numFmtId="173" fontId="36" fillId="0" borderId="37" xfId="2" applyNumberFormat="1" applyFont="1" applyFill="1" applyBorder="1"/>
    <xf numFmtId="173" fontId="30" fillId="0" borderId="0" xfId="6" applyNumberFormat="1" applyFont="1" applyFill="1" applyAlignment="1">
      <alignment horizontal="right"/>
    </xf>
    <xf numFmtId="173" fontId="30" fillId="0" borderId="0" xfId="6" applyNumberFormat="1" applyFont="1" applyFill="1" applyAlignment="1">
      <alignment horizontal="left"/>
    </xf>
    <xf numFmtId="171" fontId="1" fillId="0" borderId="0" xfId="3" applyNumberFormat="1" applyFont="1" applyBorder="1"/>
    <xf numFmtId="171" fontId="0" fillId="0" borderId="0" xfId="0" applyNumberFormat="1"/>
    <xf numFmtId="0" fontId="37" fillId="0" borderId="0" xfId="0" applyNumberFormat="1" applyFont="1" applyFill="1" applyAlignment="1">
      <alignment horizontal="right"/>
    </xf>
    <xf numFmtId="0" fontId="38" fillId="0" borderId="0" xfId="0" applyFont="1" applyFill="1" applyAlignment="1">
      <alignment horizontal="left"/>
    </xf>
    <xf numFmtId="0" fontId="2" fillId="0" borderId="37" xfId="0" applyFont="1" applyBorder="1" applyAlignment="1">
      <alignment horizontal="centerContinuous"/>
    </xf>
    <xf numFmtId="14" fontId="0" fillId="0" borderId="0" xfId="0" applyNumberFormat="1" applyFont="1"/>
    <xf numFmtId="164" fontId="4" fillId="3" borderId="21" xfId="1" applyNumberFormat="1" applyFont="1" applyFill="1" applyBorder="1" applyAlignment="1"/>
    <xf numFmtId="2" fontId="39" fillId="0" borderId="0" xfId="0" applyNumberFormat="1" applyFont="1" applyAlignment="1"/>
    <xf numFmtId="173" fontId="0" fillId="3" borderId="0" xfId="0" applyNumberFormat="1" applyFill="1"/>
    <xf numFmtId="0" fontId="0" fillId="3" borderId="0" xfId="0" applyFill="1"/>
    <xf numFmtId="173" fontId="30" fillId="3" borderId="0" xfId="6" applyNumberFormat="1" applyFont="1" applyFill="1"/>
    <xf numFmtId="164" fontId="30" fillId="3" borderId="0" xfId="5" applyNumberFormat="1" applyFont="1" applyFill="1"/>
    <xf numFmtId="173" fontId="30" fillId="3" borderId="0" xfId="2" applyNumberFormat="1" applyFont="1" applyFill="1"/>
    <xf numFmtId="173" fontId="30" fillId="3" borderId="0" xfId="6" applyNumberFormat="1" applyFont="1" applyFill="1" applyAlignment="1">
      <alignment horizontal="right"/>
    </xf>
    <xf numFmtId="173" fontId="0" fillId="3" borderId="0" xfId="2" applyNumberFormat="1" applyFont="1" applyFill="1"/>
    <xf numFmtId="173" fontId="30" fillId="7" borderId="0" xfId="6" applyNumberFormat="1" applyFont="1" applyFill="1"/>
    <xf numFmtId="164" fontId="30" fillId="7" borderId="0" xfId="5" applyNumberFormat="1" applyFont="1" applyFill="1"/>
    <xf numFmtId="173" fontId="30" fillId="7" borderId="0" xfId="2" applyNumberFormat="1" applyFont="1" applyFill="1"/>
    <xf numFmtId="173" fontId="30" fillId="7" borderId="0" xfId="6" applyNumberFormat="1" applyFont="1" applyFill="1" applyAlignment="1">
      <alignment horizontal="right"/>
    </xf>
    <xf numFmtId="173" fontId="0" fillId="7" borderId="0" xfId="2" applyNumberFormat="1" applyFont="1" applyFill="1"/>
    <xf numFmtId="173" fontId="30" fillId="8" borderId="0" xfId="6" applyNumberFormat="1" applyFont="1" applyFill="1"/>
    <xf numFmtId="165" fontId="30" fillId="8" borderId="0" xfId="2" applyNumberFormat="1" applyFont="1" applyFill="1"/>
    <xf numFmtId="171" fontId="35" fillId="8" borderId="0" xfId="3" applyNumberFormat="1" applyFont="1" applyFill="1" applyAlignment="1">
      <alignment horizontal="right"/>
    </xf>
    <xf numFmtId="173" fontId="30" fillId="8" borderId="0" xfId="2" applyNumberFormat="1" applyFont="1" applyFill="1"/>
    <xf numFmtId="164" fontId="30" fillId="8" borderId="0" xfId="5" applyNumberFormat="1" applyFont="1" applyFill="1"/>
    <xf numFmtId="164" fontId="30" fillId="8" borderId="0" xfId="1" applyNumberFormat="1" applyFont="1" applyFill="1"/>
    <xf numFmtId="173" fontId="30" fillId="8" borderId="0" xfId="6" applyNumberFormat="1" applyFont="1" applyFill="1" applyAlignment="1">
      <alignment horizontal="right"/>
    </xf>
    <xf numFmtId="173" fontId="0" fillId="8" borderId="0" xfId="2" applyNumberFormat="1" applyFont="1" applyFill="1"/>
    <xf numFmtId="174" fontId="0" fillId="0" borderId="0" xfId="0" applyNumberFormat="1"/>
    <xf numFmtId="0" fontId="0" fillId="0" borderId="0" xfId="0" quotePrefix="1"/>
    <xf numFmtId="0" fontId="0" fillId="0" borderId="0" xfId="0" quotePrefix="1" applyAlignment="1">
      <alignment horizontal="center"/>
    </xf>
    <xf numFmtId="175" fontId="0" fillId="0" borderId="0" xfId="0" applyNumberFormat="1"/>
    <xf numFmtId="2" fontId="0" fillId="0" borderId="0" xfId="0" applyNumberFormat="1" applyFill="1"/>
    <xf numFmtId="171" fontId="0" fillId="0" borderId="0" xfId="3" applyNumberFormat="1" applyFont="1" applyFill="1"/>
    <xf numFmtId="2" fontId="0" fillId="0" borderId="0" xfId="0" applyNumberFormat="1" applyFill="1" applyBorder="1"/>
    <xf numFmtId="0" fontId="0" fillId="0" borderId="0" xfId="0" applyFill="1"/>
    <xf numFmtId="173" fontId="0" fillId="0" borderId="0" xfId="0" applyNumberFormat="1" applyFill="1"/>
    <xf numFmtId="175" fontId="0" fillId="3" borderId="0" xfId="0" applyNumberFormat="1" applyFill="1"/>
    <xf numFmtId="0" fontId="0" fillId="3" borderId="0" xfId="0" applyFill="1" applyAlignment="1">
      <alignment horizontal="center"/>
    </xf>
    <xf numFmtId="164" fontId="0" fillId="8" borderId="62" xfId="0" applyNumberFormat="1" applyFill="1" applyBorder="1"/>
    <xf numFmtId="10" fontId="0" fillId="0" borderId="0" xfId="0" applyNumberFormat="1" applyFill="1" applyAlignment="1">
      <alignment horizontal="center"/>
    </xf>
    <xf numFmtId="173" fontId="2" fillId="3" borderId="0" xfId="0" applyNumberFormat="1" applyFont="1" applyFill="1"/>
    <xf numFmtId="10" fontId="0" fillId="3" borderId="0" xfId="3" applyNumberFormat="1" applyFont="1" applyFill="1"/>
    <xf numFmtId="165" fontId="0" fillId="0" borderId="0" xfId="0" applyNumberFormat="1" applyAlignment="1">
      <alignment wrapText="1"/>
    </xf>
    <xf numFmtId="165" fontId="0" fillId="0" borderId="0" xfId="2" applyNumberFormat="1" applyFont="1" applyFill="1"/>
    <xf numFmtId="165" fontId="0" fillId="0" borderId="0" xfId="0" applyNumberFormat="1" applyFill="1"/>
    <xf numFmtId="0" fontId="0" fillId="0" borderId="0" xfId="0" applyNumberFormat="1" applyFill="1" applyAlignment="1">
      <alignment vertical="top" wrapText="1"/>
    </xf>
    <xf numFmtId="0" fontId="0" fillId="0" borderId="2" xfId="0" applyBorder="1" applyAlignment="1">
      <alignment horizontal="center"/>
    </xf>
    <xf numFmtId="0" fontId="17" fillId="0" borderId="0" xfId="0" applyFont="1" applyAlignment="1">
      <alignment horizontal="center" wrapText="1"/>
    </xf>
    <xf numFmtId="0" fontId="0" fillId="0" borderId="38" xfId="0" applyNumberFormat="1" applyFill="1" applyBorder="1" applyAlignment="1">
      <alignment horizontal="left" vertical="top" wrapText="1"/>
    </xf>
    <xf numFmtId="0" fontId="0" fillId="0" borderId="47" xfId="0" applyNumberFormat="1" applyFill="1" applyBorder="1" applyAlignment="1">
      <alignment horizontal="left" vertical="top" wrapText="1"/>
    </xf>
    <xf numFmtId="0" fontId="0" fillId="0" borderId="39" xfId="0" applyNumberFormat="1" applyFill="1" applyBorder="1" applyAlignment="1">
      <alignment horizontal="left" vertical="top" wrapText="1"/>
    </xf>
    <xf numFmtId="0" fontId="0" fillId="0" borderId="40" xfId="0" applyNumberFormat="1" applyFill="1" applyBorder="1" applyAlignment="1">
      <alignment horizontal="left" vertical="top" wrapText="1"/>
    </xf>
    <xf numFmtId="0" fontId="0" fillId="0" borderId="0" xfId="0" applyNumberFormat="1" applyFill="1" applyBorder="1" applyAlignment="1">
      <alignment horizontal="left" vertical="top" wrapText="1"/>
    </xf>
    <xf numFmtId="0" fontId="0" fillId="0" borderId="41" xfId="0" applyNumberFormat="1" applyFill="1" applyBorder="1" applyAlignment="1">
      <alignment horizontal="left" vertical="top" wrapText="1"/>
    </xf>
    <xf numFmtId="0" fontId="0" fillId="0" borderId="42" xfId="0" applyNumberFormat="1" applyFill="1" applyBorder="1" applyAlignment="1">
      <alignment horizontal="left" vertical="top" wrapText="1"/>
    </xf>
    <xf numFmtId="0" fontId="0" fillId="0" borderId="56" xfId="0" applyNumberFormat="1" applyFill="1" applyBorder="1" applyAlignment="1">
      <alignment horizontal="left" vertical="top" wrapText="1"/>
    </xf>
    <xf numFmtId="0" fontId="0" fillId="0" borderId="43" xfId="0" applyNumberFormat="1" applyFill="1" applyBorder="1" applyAlignment="1">
      <alignment horizontal="left" vertical="top" wrapText="1"/>
    </xf>
    <xf numFmtId="0" fontId="0" fillId="8" borderId="44" xfId="0" applyFill="1" applyBorder="1" applyAlignment="1">
      <alignment horizontal="center" wrapText="1"/>
    </xf>
    <xf numFmtId="0" fontId="0" fillId="8" borderId="45" xfId="0" applyFill="1" applyBorder="1" applyAlignment="1">
      <alignment horizontal="center" wrapText="1"/>
    </xf>
    <xf numFmtId="0" fontId="0" fillId="8" borderId="46" xfId="0" applyFill="1" applyBorder="1" applyAlignment="1">
      <alignment horizontal="center" wrapText="1"/>
    </xf>
    <xf numFmtId="0" fontId="0" fillId="3" borderId="0" xfId="0" applyFill="1" applyAlignment="1">
      <alignment horizontal="center" vertical="top" wrapText="1"/>
    </xf>
    <xf numFmtId="168" fontId="17" fillId="0" borderId="0" xfId="0" applyNumberFormat="1" applyFont="1" applyFill="1" applyBorder="1" applyAlignment="1">
      <alignment horizontal="center"/>
    </xf>
  </cellXfs>
  <cellStyles count="7">
    <cellStyle name="Comma" xfId="1" builtinId="3"/>
    <cellStyle name="Comma 10 2 2 3" xfId="4"/>
    <cellStyle name="Currency" xfId="2" builtinId="4"/>
    <cellStyle name="Currency 10 3 4" xfId="6"/>
    <cellStyle name="Normal" xfId="0" builtinId="0"/>
    <cellStyle name="Normal - Style1 2 2 3 4" xfId="5"/>
    <cellStyle name="Percent" xfId="3" builtinId="5"/>
  </cellStyles>
  <dxfs count="34">
    <dxf>
      <fill>
        <patternFill>
          <bgColor indexed="22"/>
        </patternFill>
      </fill>
    </dxf>
    <dxf>
      <fill>
        <patternFill>
          <bgColor indexed="22"/>
        </patternFill>
      </fill>
    </dxf>
    <dxf>
      <fill>
        <patternFill>
          <bgColor rgb="FFFFFF99"/>
        </patternFill>
      </fill>
    </dxf>
    <dxf>
      <fill>
        <patternFill>
          <bgColor rgb="FFFFFF99"/>
        </patternFill>
      </fill>
    </dxf>
    <dxf>
      <fill>
        <patternFill>
          <bgColor indexed="22"/>
        </patternFill>
      </fill>
    </dxf>
    <dxf>
      <fill>
        <patternFill>
          <bgColor rgb="FFFFFF99"/>
        </patternFill>
      </fill>
    </dxf>
    <dxf>
      <fill>
        <patternFill>
          <bgColor rgb="FFFFFF99"/>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rgb="FFFFFF99"/>
        </patternFill>
      </fill>
    </dxf>
    <dxf>
      <fill>
        <patternFill>
          <bgColor rgb="FFFFFF99"/>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4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rgb="FFFFFF99"/>
        </patternFill>
      </fill>
    </dxf>
    <dxf>
      <fill>
        <patternFill>
          <bgColor rgb="FFFFFF99"/>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42"/>
        </patternFill>
      </fill>
    </dxf>
    <dxf>
      <fill>
        <patternFill>
          <bgColor indexed="22"/>
        </patternFill>
      </fill>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gampo/AppData/Local/Microsoft/Windows/Temporary%20Internet%20Files/Content.Outlook/J4FPL0BN/PSM%20III%2018_2013%20IRP_v15_Base_Case2_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Evaluation Summary"/>
      <sheetName val="Comments"/>
      <sheetName val="LPProblem"/>
      <sheetName val="Assumptions"/>
      <sheetName val="AuroraEnergyAll"/>
      <sheetName val="AuroraCostAll"/>
      <sheetName val="AuroraRevenueAll"/>
      <sheetName val="Peak Inputs"/>
      <sheetName val="CO2_Emissions"/>
      <sheetName val="Wind PPA Inputs"/>
      <sheetName val="Load_Market_DSM"/>
      <sheetName val="REC Credit"/>
      <sheetName val="Thermal Acq Inputs"/>
      <sheetName val="Wind Acq Inputs"/>
      <sheetName val="Fixed Price PPA Inputs"/>
      <sheetName val="Toll PPA Inputs"/>
      <sheetName val="AURORAenergy"/>
      <sheetName val="AURORAcost"/>
      <sheetName val="AURORArevenue"/>
      <sheetName val="Results Summary"/>
      <sheetName val="AcqTherm 1"/>
      <sheetName val="AcqTherm 2"/>
      <sheetName val="AcqTherm 3"/>
      <sheetName val="AcqTherm 4"/>
      <sheetName val="AcqTherm 5"/>
      <sheetName val="AcqWind 1"/>
      <sheetName val="AcqWind 2"/>
      <sheetName val="AcqWind 3"/>
      <sheetName val="AcqWind 4"/>
      <sheetName val="AcqWind 5"/>
      <sheetName val="CCGT"/>
      <sheetName val="Transmission Addition"/>
      <sheetName val="CCGT East"/>
      <sheetName val="Self Build Peaker"/>
      <sheetName val="Peaker East"/>
      <sheetName val="Peaker"/>
      <sheetName val="New Renewable 1"/>
      <sheetName val="New Renewable 2"/>
      <sheetName val="New Renewable 3"/>
      <sheetName val="Wind"/>
      <sheetName val="PPA Rollup"/>
      <sheetName val="Equity Equalization - PPA"/>
      <sheetName val="End Effects"/>
      <sheetName val="Net Cost Calc"/>
      <sheetName val="Book Life"/>
      <sheetName val="Replacement Cost Rollup"/>
      <sheetName val="CCGT Replacement Rev Req"/>
      <sheetName val="Peaker Replacement Rev Req"/>
      <sheetName val="Wind Replacement Rev Req"/>
      <sheetName val="CCGT East Replacement Rev Req"/>
      <sheetName val="Peaker East Replacement Rev Req"/>
      <sheetName val="WACC"/>
    </sheetNames>
    <sheetDataSet>
      <sheetData sheetId="0" refreshError="1"/>
      <sheetData sheetId="1" refreshError="1"/>
      <sheetData sheetId="2" refreshError="1"/>
      <sheetData sheetId="3" refreshError="1">
        <row r="32">
          <cell r="AX32">
            <v>18268.994981799504</v>
          </cell>
        </row>
      </sheetData>
      <sheetData sheetId="4" refreshError="1">
        <row r="1">
          <cell r="A1" t="str">
            <v>(All Generics)_2013 IRP Base</v>
          </cell>
        </row>
        <row r="2">
          <cell r="A2" t="str">
            <v>PSM III Optimizer v 18 2013 IRP</v>
          </cell>
        </row>
        <row r="7">
          <cell r="C7">
            <v>41639</v>
          </cell>
        </row>
        <row r="24">
          <cell r="O24">
            <v>7.8E-2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8"/>
  <sheetViews>
    <sheetView tabSelected="1" view="pageLayout" topLeftCell="E1" zoomScaleNormal="100" workbookViewId="0">
      <selection activeCell="R13" sqref="R13"/>
    </sheetView>
  </sheetViews>
  <sheetFormatPr defaultRowHeight="14.4" x14ac:dyDescent="0.3"/>
  <cols>
    <col min="1" max="1" width="4.88671875" bestFit="1" customWidth="1"/>
    <col min="2" max="3" width="10.88671875" customWidth="1"/>
    <col min="4" max="6" width="15.6640625" customWidth="1"/>
    <col min="7" max="7" width="3.5546875" customWidth="1"/>
    <col min="8" max="8" width="12.88671875" bestFit="1" customWidth="1"/>
    <col min="9" max="9" width="3" customWidth="1"/>
    <col min="10" max="10" width="9.6640625" bestFit="1" customWidth="1"/>
    <col min="11" max="11" width="3.44140625" customWidth="1"/>
    <col min="12" max="12" width="11.6640625" customWidth="1"/>
    <col min="13" max="13" width="2.5546875" customWidth="1"/>
    <col min="14" max="14" width="9" bestFit="1" customWidth="1"/>
    <col min="15" max="15" width="3.44140625" customWidth="1"/>
    <col min="16" max="16" width="11.109375" bestFit="1" customWidth="1"/>
    <col min="17" max="17" width="9.88671875" bestFit="1" customWidth="1"/>
  </cols>
  <sheetData>
    <row r="1" spans="1:17" ht="20.100000000000001" customHeight="1" x14ac:dyDescent="0.3">
      <c r="D1" s="315" t="s">
        <v>246</v>
      </c>
      <c r="E1" s="315"/>
      <c r="F1" s="315"/>
      <c r="G1" s="315"/>
      <c r="H1" s="315"/>
      <c r="I1" s="315"/>
      <c r="J1" s="315"/>
      <c r="Q1" s="269" t="s">
        <v>248</v>
      </c>
    </row>
    <row r="2" spans="1:17" ht="20.100000000000001" customHeight="1" x14ac:dyDescent="0.3">
      <c r="D2" s="315"/>
      <c r="E2" s="315"/>
      <c r="F2" s="315"/>
      <c r="G2" s="315"/>
      <c r="H2" s="315"/>
      <c r="I2" s="315"/>
      <c r="J2" s="315"/>
      <c r="Q2" s="269" t="s">
        <v>207</v>
      </c>
    </row>
    <row r="4" spans="1:17" ht="15" x14ac:dyDescent="0.25">
      <c r="L4" s="216" t="s">
        <v>177</v>
      </c>
    </row>
    <row r="5" spans="1:17" ht="15" x14ac:dyDescent="0.25">
      <c r="D5" s="314" t="s">
        <v>245</v>
      </c>
      <c r="E5" s="314"/>
      <c r="F5" s="314"/>
      <c r="H5" s="216" t="s">
        <v>166</v>
      </c>
      <c r="I5" s="216"/>
      <c r="J5" s="216" t="s">
        <v>156</v>
      </c>
      <c r="L5" s="216" t="s">
        <v>176</v>
      </c>
      <c r="N5" s="216" t="s">
        <v>163</v>
      </c>
      <c r="P5" s="314" t="s">
        <v>158</v>
      </c>
      <c r="Q5" s="314"/>
    </row>
    <row r="6" spans="1:17" ht="15.75" thickBot="1" x14ac:dyDescent="0.3">
      <c r="A6" s="220" t="s">
        <v>175</v>
      </c>
      <c r="B6" s="220" t="s">
        <v>178</v>
      </c>
      <c r="C6" s="220"/>
      <c r="D6" s="220" t="s">
        <v>161</v>
      </c>
      <c r="E6" s="220" t="s">
        <v>160</v>
      </c>
      <c r="F6" s="220" t="s">
        <v>155</v>
      </c>
      <c r="G6" s="219"/>
      <c r="H6" s="220" t="s">
        <v>208</v>
      </c>
      <c r="I6" s="220"/>
      <c r="J6" s="220" t="s">
        <v>157</v>
      </c>
      <c r="K6" s="219"/>
      <c r="L6" s="220" t="s">
        <v>157</v>
      </c>
      <c r="M6" s="219"/>
      <c r="N6" s="220" t="s">
        <v>164</v>
      </c>
      <c r="O6" s="219"/>
      <c r="P6" s="220" t="s">
        <v>162</v>
      </c>
      <c r="Q6" s="219" t="s">
        <v>159</v>
      </c>
    </row>
    <row r="7" spans="1:17" ht="15" x14ac:dyDescent="0.25">
      <c r="A7" s="216"/>
      <c r="B7" s="225"/>
      <c r="C7" s="225"/>
      <c r="D7" s="238" t="s">
        <v>169</v>
      </c>
      <c r="E7" s="238" t="s">
        <v>170</v>
      </c>
      <c r="F7" s="238" t="s">
        <v>171</v>
      </c>
      <c r="G7" s="225"/>
      <c r="H7" s="238" t="s">
        <v>242</v>
      </c>
      <c r="I7" s="238"/>
      <c r="J7" s="238" t="s">
        <v>172</v>
      </c>
      <c r="K7" s="225"/>
      <c r="L7" s="238" t="s">
        <v>181</v>
      </c>
      <c r="M7" s="225"/>
      <c r="N7" s="238" t="s">
        <v>173</v>
      </c>
      <c r="O7" s="225"/>
      <c r="P7" s="239" t="s">
        <v>174</v>
      </c>
      <c r="Q7" s="239" t="s">
        <v>180</v>
      </c>
    </row>
    <row r="8" spans="1:17" ht="15" x14ac:dyDescent="0.25">
      <c r="A8" s="216"/>
      <c r="C8" s="272">
        <v>41640</v>
      </c>
      <c r="D8" s="235">
        <v>0</v>
      </c>
      <c r="E8" s="235">
        <v>0</v>
      </c>
      <c r="F8" s="236">
        <v>0</v>
      </c>
      <c r="G8" s="237"/>
      <c r="H8" s="235">
        <v>0</v>
      </c>
      <c r="I8" s="236"/>
      <c r="J8" s="236">
        <v>0</v>
      </c>
      <c r="N8" s="163"/>
    </row>
    <row r="9" spans="1:17" ht="15" x14ac:dyDescent="0.25">
      <c r="A9" s="216">
        <v>1</v>
      </c>
      <c r="B9" s="216">
        <f>YEAR(C9)</f>
        <v>2014</v>
      </c>
      <c r="C9" s="166">
        <v>41820</v>
      </c>
      <c r="D9" s="311">
        <f>+'Incr Power Cost Summary'!E44+'Price Forecast'!$R$17/1000</f>
        <v>1442612.322164645</v>
      </c>
      <c r="E9" s="311">
        <f>+'Incr Power Cost Summary'!D44+'Price Forecast'!$R$17/1000</f>
        <v>1433014.220122335</v>
      </c>
      <c r="F9" s="213">
        <f t="shared" ref="F9:F28" si="0">D9-E9</f>
        <v>9598.1020423099399</v>
      </c>
      <c r="H9" s="311">
        <f ca="1">N9*H38*(1+Q9)/1000</f>
        <v>21736.797472117985</v>
      </c>
      <c r="I9" s="312"/>
      <c r="J9" s="312">
        <f ca="1">F9-H9</f>
        <v>-12138.695429808045</v>
      </c>
      <c r="K9" s="302"/>
      <c r="L9" s="312">
        <f ca="1">XNPV(0.0777,J$8:J9,$C$8:$C9)</f>
        <v>-11698.917046950446</v>
      </c>
      <c r="N9" s="163">
        <f ca="1">OFFSET('Incr Power Cost Summary'!$D$13,0,ROW()-ROW())</f>
        <v>323181.39669860899</v>
      </c>
      <c r="P9" s="229">
        <f>'Incr Power Cost Summary'!D13/'Exhibit JRD-3'!H35-1</f>
        <v>0.104997503794521</v>
      </c>
      <c r="Q9" s="230"/>
    </row>
    <row r="10" spans="1:17" ht="15" x14ac:dyDescent="0.25">
      <c r="A10" s="216">
        <f>A9+1</f>
        <v>2</v>
      </c>
      <c r="B10" s="216">
        <f t="shared" ref="B10:B28" si="1">YEAR(C10)</f>
        <v>2015</v>
      </c>
      <c r="C10" s="166">
        <v>42185</v>
      </c>
      <c r="D10" s="311">
        <f>+'Incr Power Cost Summary'!E45+'Price Forecast'!$R$17/1000</f>
        <v>1424658.6142392841</v>
      </c>
      <c r="E10" s="311">
        <f>+'Incr Power Cost Summary'!D45+'Price Forecast'!$R$17/1000</f>
        <v>1414449.3788169397</v>
      </c>
      <c r="F10" s="213">
        <f t="shared" si="0"/>
        <v>10209.235422344413</v>
      </c>
      <c r="H10" s="312">
        <f ca="1">H9*(1+P10+Q10)</f>
        <v>21913.968286990734</v>
      </c>
      <c r="I10" s="312"/>
      <c r="J10" s="312">
        <f t="shared" ref="J10:J28" ca="1" si="2">F10-H10</f>
        <v>-11704.732864646321</v>
      </c>
      <c r="K10" s="302"/>
      <c r="L10" s="312">
        <f ca="1">XNPV(0.0777,J$8:J10,$C$8:$C10)</f>
        <v>-22166.27968151302</v>
      </c>
      <c r="N10" s="163">
        <f ca="1">OFFSET('Incr Power Cost Summary'!$D$13,0,ROW()-ROW($N$9))</f>
        <v>327286.52169134468</v>
      </c>
      <c r="P10" s="231">
        <f ca="1">OFFSET('Incr Power Cost Summary'!$E$14,0,ROW()-ROW())</f>
        <v>1.270223173323326E-2</v>
      </c>
      <c r="Q10" s="307">
        <f>'Price Forecast'!M9</f>
        <v>-4.5514995428078686E-3</v>
      </c>
    </row>
    <row r="11" spans="1:17" ht="15" x14ac:dyDescent="0.25">
      <c r="A11" s="216">
        <f t="shared" ref="A11:A40" si="3">A10+1</f>
        <v>3</v>
      </c>
      <c r="B11" s="216">
        <f t="shared" si="1"/>
        <v>2016</v>
      </c>
      <c r="C11" s="166">
        <v>42551</v>
      </c>
      <c r="D11" s="311">
        <f>+'Incr Power Cost Summary'!E46+'Price Forecast'!$R$17/1000</f>
        <v>1427185.6531139405</v>
      </c>
      <c r="E11" s="311">
        <f>+'Incr Power Cost Summary'!D46+'Price Forecast'!$R$17/1000</f>
        <v>1416278.9429307133</v>
      </c>
      <c r="F11" s="213">
        <f t="shared" si="0"/>
        <v>10906.710183227202</v>
      </c>
      <c r="H11" s="312">
        <f t="shared" ref="H11:H28" ca="1" si="4">H10*(1+P11+Q11)</f>
        <v>22806.074227106168</v>
      </c>
      <c r="I11" s="312"/>
      <c r="J11" s="312">
        <f t="shared" ca="1" si="2"/>
        <v>-11899.364043878966</v>
      </c>
      <c r="K11" s="302"/>
      <c r="L11" s="312">
        <f ca="1">XNPV(0.0777,J$8:J11,$C$8:$C11)</f>
        <v>-32038.449040089065</v>
      </c>
      <c r="N11" s="163">
        <f ca="1">OFFSET('Incr Power Cost Summary'!$D$13,0,ROW()-ROW($N$9))</f>
        <v>333868.7738099657</v>
      </c>
      <c r="P11" s="231">
        <f ca="1">OFFSET('Incr Power Cost Summary'!$E$14,0,ROW()-ROW($P$10))</f>
        <v>2.0111589333423829E-2</v>
      </c>
      <c r="Q11" s="307">
        <f>'Price Forecast'!M10</f>
        <v>2.0597876356778677E-2</v>
      </c>
    </row>
    <row r="12" spans="1:17" ht="15" x14ac:dyDescent="0.25">
      <c r="A12" s="216">
        <f t="shared" si="3"/>
        <v>4</v>
      </c>
      <c r="B12" s="216">
        <f t="shared" si="1"/>
        <v>2017</v>
      </c>
      <c r="C12" s="166">
        <v>42916</v>
      </c>
      <c r="D12" s="311">
        <f>+'Incr Power Cost Summary'!E47+'Price Forecast'!$R$17/1000</f>
        <v>1450689.4248321136</v>
      </c>
      <c r="E12" s="311">
        <f>+'Incr Power Cost Summary'!D47+'Price Forecast'!$R$17/1000</f>
        <v>1438119.1133075007</v>
      </c>
      <c r="F12" s="213">
        <f t="shared" si="0"/>
        <v>12570.311524612829</v>
      </c>
      <c r="H12" s="312">
        <f ca="1">H11*(1+P12+Q12)</f>
        <v>24080.467044775651</v>
      </c>
      <c r="I12" s="312"/>
      <c r="J12" s="312">
        <f t="shared" ca="1" si="2"/>
        <v>-11510.155520162822</v>
      </c>
      <c r="K12" s="302"/>
      <c r="L12" s="312">
        <f ca="1">XNPV(0.0777,J$8:J12,$C$8:$C12)</f>
        <v>-40899.233137050134</v>
      </c>
      <c r="N12" s="163">
        <f ca="1">OFFSET('Incr Power Cost Summary'!$D$13,0,ROW()-ROW($N$9))</f>
        <v>338559.40422973409</v>
      </c>
      <c r="P12" s="231">
        <f ca="1">OFFSET('Incr Power Cost Summary'!$E$14,0,ROW()-ROW($P$10))</f>
        <v>1.404932352984356E-2</v>
      </c>
      <c r="Q12" s="307">
        <f>'Price Forecast'!M11</f>
        <v>4.1830211237030124E-2</v>
      </c>
    </row>
    <row r="13" spans="1:17" ht="15" x14ac:dyDescent="0.25">
      <c r="A13" s="216">
        <f t="shared" si="3"/>
        <v>5</v>
      </c>
      <c r="B13" s="216">
        <f t="shared" si="1"/>
        <v>2018</v>
      </c>
      <c r="C13" s="166">
        <v>43281</v>
      </c>
      <c r="D13" s="311">
        <f>+'Incr Power Cost Summary'!E48+'Price Forecast'!$R$17/1000</f>
        <v>1557064.4910010912</v>
      </c>
      <c r="E13" s="311">
        <f>+'Incr Power Cost Summary'!D48+'Price Forecast'!$R$17/1000</f>
        <v>1500397.5597500191</v>
      </c>
      <c r="F13" s="213">
        <f t="shared" si="0"/>
        <v>56666.931251072092</v>
      </c>
      <c r="H13" s="312">
        <f t="shared" ca="1" si="4"/>
        <v>25924.081884803993</v>
      </c>
      <c r="I13" s="312"/>
      <c r="J13" s="312">
        <f t="shared" ca="1" si="2"/>
        <v>30742.849366268099</v>
      </c>
      <c r="K13" s="302"/>
      <c r="L13" s="312">
        <f ca="1">XNPV(0.0777,J$8:J13,$C$8:$C13)</f>
        <v>-18938.98731854562</v>
      </c>
      <c r="N13" s="163">
        <f ca="1">OFFSET('Incr Power Cost Summary'!$D$13,0,ROW()-ROW($N$9))</f>
        <v>343226.70932959393</v>
      </c>
      <c r="P13" s="231">
        <f ca="1">OFFSET('Incr Power Cost Summary'!$E$14,0,ROW()-ROW($P$10))</f>
        <v>1.3785778925499148E-2</v>
      </c>
      <c r="Q13" s="307">
        <f>'Price Forecast'!M12</f>
        <v>6.2774814214172636E-2</v>
      </c>
    </row>
    <row r="14" spans="1:17" ht="15" x14ac:dyDescent="0.25">
      <c r="A14" s="216">
        <f t="shared" si="3"/>
        <v>6</v>
      </c>
      <c r="B14" s="216">
        <f t="shared" si="1"/>
        <v>2019</v>
      </c>
      <c r="C14" s="166">
        <v>43646</v>
      </c>
      <c r="D14" s="311">
        <f>+'Incr Power Cost Summary'!E49+'Price Forecast'!$R$17/1000</f>
        <v>1599086.3636756397</v>
      </c>
      <c r="E14" s="311">
        <f>+'Incr Power Cost Summary'!D49+'Price Forecast'!$R$17/1000</f>
        <v>1541477.5497702477</v>
      </c>
      <c r="F14" s="213">
        <f t="shared" si="0"/>
        <v>57608.813905392075</v>
      </c>
      <c r="H14" s="312">
        <f t="shared" ca="1" si="4"/>
        <v>27127.578195273032</v>
      </c>
      <c r="I14" s="312"/>
      <c r="J14" s="312">
        <f t="shared" ca="1" si="2"/>
        <v>30481.235710119043</v>
      </c>
      <c r="K14" s="302"/>
      <c r="L14" s="312">
        <f ca="1">XNPV(0.0777,J$8:J14,$C$8:$C14)</f>
        <v>1264.5663934409713</v>
      </c>
      <c r="N14" s="163">
        <f ca="1">OFFSET('Incr Power Cost Summary'!$D$13,0,ROW()-ROW($N$9))</f>
        <v>346736.05760733783</v>
      </c>
      <c r="P14" s="231">
        <f ca="1">OFFSET('Incr Power Cost Summary'!$E$14,0,ROW()-ROW($P$10))</f>
        <v>1.0224578048131816E-2</v>
      </c>
      <c r="Q14" s="307">
        <f>'Price Forecast'!M13</f>
        <v>3.6199295931933717E-2</v>
      </c>
    </row>
    <row r="15" spans="1:17" ht="15" x14ac:dyDescent="0.25">
      <c r="A15" s="216">
        <f t="shared" si="3"/>
        <v>7</v>
      </c>
      <c r="B15" s="216">
        <f t="shared" si="1"/>
        <v>2020</v>
      </c>
      <c r="C15" s="166">
        <v>44012</v>
      </c>
      <c r="D15" s="311">
        <f>+'Incr Power Cost Summary'!E50+'Price Forecast'!$R$17/1000</f>
        <v>1612688.7387889386</v>
      </c>
      <c r="E15" s="311">
        <f>+'Incr Power Cost Summary'!D50+'Price Forecast'!$R$17/1000</f>
        <v>1555382.8858551644</v>
      </c>
      <c r="F15" s="213">
        <f t="shared" si="0"/>
        <v>57305.852933774237</v>
      </c>
      <c r="H15" s="312">
        <f t="shared" ca="1" si="4"/>
        <v>27589.354366490501</v>
      </c>
      <c r="I15" s="312"/>
      <c r="J15" s="312">
        <f t="shared" ca="1" si="2"/>
        <v>29716.498567283736</v>
      </c>
      <c r="K15" s="302"/>
      <c r="L15" s="312">
        <f ca="1">XNPV(0.0777,J$8:J15,$C$8:$C15)</f>
        <v>19537.400658136296</v>
      </c>
      <c r="N15" s="163">
        <f ca="1">OFFSET('Incr Power Cost Summary'!$D$13,0,ROW()-ROW($N$9))</f>
        <v>350188.77407231554</v>
      </c>
      <c r="P15" s="231">
        <f ca="1">OFFSET('Incr Power Cost Summary'!$E$14,0,ROW()-ROW($P$10))</f>
        <v>9.9577658256926327E-3</v>
      </c>
      <c r="Q15" s="307">
        <f>'Price Forecast'!M14</f>
        <v>7.0646225310362354E-3</v>
      </c>
    </row>
    <row r="16" spans="1:17" ht="15" x14ac:dyDescent="0.25">
      <c r="A16" s="216">
        <f t="shared" si="3"/>
        <v>8</v>
      </c>
      <c r="B16" s="216">
        <f t="shared" si="1"/>
        <v>2021</v>
      </c>
      <c r="C16" s="166">
        <v>44377</v>
      </c>
      <c r="D16" s="311">
        <f>+'Incr Power Cost Summary'!E51+'Price Forecast'!$R$17/1000</f>
        <v>1632860.3454123563</v>
      </c>
      <c r="E16" s="311">
        <f>+'Incr Power Cost Summary'!D51+'Price Forecast'!$R$17/1000</f>
        <v>1620070.56525918</v>
      </c>
      <c r="F16" s="213">
        <f t="shared" si="0"/>
        <v>12789.780153176282</v>
      </c>
      <c r="H16" s="312">
        <f t="shared" ca="1" si="4"/>
        <v>28133.690309227124</v>
      </c>
      <c r="I16" s="312"/>
      <c r="J16" s="312">
        <f t="shared" ca="1" si="2"/>
        <v>-15343.910156050842</v>
      </c>
      <c r="K16" s="302"/>
      <c r="L16" s="312">
        <f ca="1">XNPV(0.0777,J$8:J16,$C$8:$C16)</f>
        <v>10782.596346933464</v>
      </c>
      <c r="N16" s="163">
        <f ca="1">OFFSET('Incr Power Cost Summary'!$D$13,0,ROW()-ROW($N$9))</f>
        <v>349678.29832665622</v>
      </c>
      <c r="P16" s="231">
        <f ca="1">OFFSET('Incr Power Cost Summary'!$E$14,0,ROW()-ROW($P$10))</f>
        <v>-1.4577159048333455E-3</v>
      </c>
      <c r="Q16" s="307">
        <f>'Price Forecast'!M15</f>
        <v>2.11876427275417E-2</v>
      </c>
    </row>
    <row r="17" spans="1:18" ht="15" x14ac:dyDescent="0.25">
      <c r="A17" s="216">
        <f t="shared" si="3"/>
        <v>9</v>
      </c>
      <c r="B17" s="216">
        <f t="shared" si="1"/>
        <v>2022</v>
      </c>
      <c r="C17" s="166">
        <v>44742</v>
      </c>
      <c r="D17" s="311">
        <f>+'Incr Power Cost Summary'!E52+'Price Forecast'!$R$17/1000</f>
        <v>1801719.1919385521</v>
      </c>
      <c r="E17" s="311">
        <f>+'Incr Power Cost Summary'!D52+'Price Forecast'!$R$17/1000</f>
        <v>1742451.9822080841</v>
      </c>
      <c r="F17" s="213">
        <f t="shared" si="0"/>
        <v>59267.209730467992</v>
      </c>
      <c r="H17" s="312">
        <f t="shared" ca="1" si="4"/>
        <v>30606.196321630665</v>
      </c>
      <c r="I17" s="312"/>
      <c r="J17" s="312">
        <f t="shared" ca="1" si="2"/>
        <v>28661.013408837327</v>
      </c>
      <c r="K17" s="302"/>
      <c r="L17" s="312">
        <f ca="1">XNPV(0.0777,J$8:J17,$C$8:$C17)</f>
        <v>25956.735264777981</v>
      </c>
      <c r="N17" s="163">
        <f ca="1">OFFSET('Incr Power Cost Summary'!$D$13,0,ROW()-ROW($N$9))</f>
        <v>352148.8479844369</v>
      </c>
      <c r="P17" s="231">
        <f ca="1">OFFSET('Incr Power Cost Summary'!$E$14,0,ROW()-ROW($P$10))</f>
        <v>7.06520727652582E-3</v>
      </c>
      <c r="Q17" s="307">
        <f>'Price Forecast'!M16</f>
        <v>8.081896238722508E-2</v>
      </c>
    </row>
    <row r="18" spans="1:18" ht="15" x14ac:dyDescent="0.25">
      <c r="A18" s="216">
        <f t="shared" si="3"/>
        <v>10</v>
      </c>
      <c r="B18" s="216">
        <f t="shared" si="1"/>
        <v>2023</v>
      </c>
      <c r="C18" s="166">
        <v>45107</v>
      </c>
      <c r="D18" s="311">
        <f>+'Incr Power Cost Summary'!E53+'Price Forecast'!$R$17/1000</f>
        <v>1866311.5442484003</v>
      </c>
      <c r="E18" s="311">
        <f>+'Incr Power Cost Summary'!D53+'Price Forecast'!$R$17/1000</f>
        <v>1806639.4335117554</v>
      </c>
      <c r="F18" s="213">
        <f t="shared" si="0"/>
        <v>59672.110736644827</v>
      </c>
      <c r="H18" s="312">
        <f t="shared" ca="1" si="4"/>
        <v>31525.649094629567</v>
      </c>
      <c r="I18" s="312"/>
      <c r="J18" s="312">
        <f t="shared" ca="1" si="2"/>
        <v>28146.46164201526</v>
      </c>
      <c r="K18" s="302"/>
      <c r="L18" s="312">
        <f ca="1">XNPV(0.0777,J$8:J18,$C$8:$C18)</f>
        <v>39784.068741486008</v>
      </c>
      <c r="N18" s="163">
        <f ca="1">OFFSET('Incr Power Cost Summary'!$D$13,0,ROW()-ROW($N$9))</f>
        <v>354865.01775281504</v>
      </c>
      <c r="P18" s="231">
        <f ca="1">OFFSET('Incr Power Cost Summary'!$E$14,0,ROW()-ROW($P$10))</f>
        <v>7.7131297856700698E-3</v>
      </c>
      <c r="Q18" s="307">
        <f>'Price Forecast'!M17</f>
        <v>2.2328263249147717E-2</v>
      </c>
    </row>
    <row r="19" spans="1:18" ht="15" x14ac:dyDescent="0.25">
      <c r="A19" s="216">
        <f t="shared" si="3"/>
        <v>11</v>
      </c>
      <c r="B19" s="216">
        <f t="shared" si="1"/>
        <v>2024</v>
      </c>
      <c r="C19" s="166">
        <v>45473</v>
      </c>
      <c r="D19" s="311">
        <f>+'Incr Power Cost Summary'!E54+'Price Forecast'!$R$17/1000</f>
        <v>1895397.3753135898</v>
      </c>
      <c r="E19" s="311">
        <f>+'Incr Power Cost Summary'!D54+'Price Forecast'!$R$17/1000</f>
        <v>1884569.7482748954</v>
      </c>
      <c r="F19" s="213">
        <f t="shared" si="0"/>
        <v>10827.627038694452</v>
      </c>
      <c r="H19" s="312">
        <f t="shared" ca="1" si="4"/>
        <v>32068.262382078745</v>
      </c>
      <c r="I19" s="312"/>
      <c r="J19" s="312">
        <f t="shared" ca="1" si="2"/>
        <v>-21240.635343384292</v>
      </c>
      <c r="K19" s="302"/>
      <c r="L19" s="312">
        <f ca="1">XNPV(0.0777,J$8:J19,$C$8:$C19)</f>
        <v>30103.626113001585</v>
      </c>
      <c r="N19" s="163">
        <f ca="1">OFFSET('Incr Power Cost Summary'!$D$13,0,ROW()-ROW($N$9))</f>
        <v>360598.47192756832</v>
      </c>
      <c r="P19" s="231">
        <f ca="1">OFFSET('Incr Power Cost Summary'!$E$14,0,ROW()-ROW($P$10))</f>
        <v>1.6156718436380224E-2</v>
      </c>
      <c r="Q19" s="307">
        <f>'Price Forecast'!M18</f>
        <v>1.0550853815343153E-3</v>
      </c>
    </row>
    <row r="20" spans="1:18" ht="15" x14ac:dyDescent="0.25">
      <c r="A20" s="216">
        <f t="shared" si="3"/>
        <v>12</v>
      </c>
      <c r="B20" s="216">
        <f t="shared" si="1"/>
        <v>2025</v>
      </c>
      <c r="C20" s="166">
        <v>45838</v>
      </c>
      <c r="D20" s="311">
        <f>+'Incr Power Cost Summary'!E55+'Price Forecast'!$R$17/1000</f>
        <v>2026641.3299986478</v>
      </c>
      <c r="E20" s="311">
        <f>+'Incr Power Cost Summary'!D55+'Price Forecast'!$R$17/1000</f>
        <v>1964477.8098309487</v>
      </c>
      <c r="F20" s="213">
        <f t="shared" si="0"/>
        <v>62163.520167699084</v>
      </c>
      <c r="H20" s="312">
        <f t="shared" ca="1" si="4"/>
        <v>33437.339932905656</v>
      </c>
      <c r="I20" s="312"/>
      <c r="J20" s="312">
        <f t="shared" ca="1" si="2"/>
        <v>28726.180234793428</v>
      </c>
      <c r="K20" s="302"/>
      <c r="L20" s="312">
        <f ca="1">XNPV(0.0777,J$8:J20,$C$8:$C20)</f>
        <v>42251.707994087774</v>
      </c>
      <c r="N20" s="163">
        <f ca="1">OFFSET('Incr Power Cost Summary'!$D$13,0,ROW()-ROW($N$9))</f>
        <v>366574.70238672569</v>
      </c>
      <c r="P20" s="231">
        <f ca="1">OFFSET('Incr Power Cost Summary'!$E$14,0,ROW()-ROW($P$10))</f>
        <v>1.6573088696720362E-2</v>
      </c>
      <c r="Q20" s="307">
        <f>'Price Forecast'!M19</f>
        <v>2.611951293273429E-2</v>
      </c>
    </row>
    <row r="21" spans="1:18" ht="15" x14ac:dyDescent="0.25">
      <c r="A21" s="216">
        <f t="shared" si="3"/>
        <v>13</v>
      </c>
      <c r="B21" s="216">
        <f t="shared" si="1"/>
        <v>2026</v>
      </c>
      <c r="C21" s="166">
        <v>46203</v>
      </c>
      <c r="D21" s="311">
        <f>+'Incr Power Cost Summary'!E56+'Price Forecast'!$R$17/1000</f>
        <v>2311276.1628333856</v>
      </c>
      <c r="E21" s="311">
        <f>+'Incr Power Cost Summary'!D56+'Price Forecast'!$R$17/1000</f>
        <v>2299454.3012670614</v>
      </c>
      <c r="F21" s="213">
        <f t="shared" si="0"/>
        <v>11821.861566324253</v>
      </c>
      <c r="H21" s="312">
        <f t="shared" ca="1" si="4"/>
        <v>35258.148077036589</v>
      </c>
      <c r="I21" s="312"/>
      <c r="J21" s="312">
        <f t="shared" ca="1" si="2"/>
        <v>-23436.286510712336</v>
      </c>
      <c r="K21" s="302"/>
      <c r="L21" s="312">
        <f ca="1">XNPV(0.0777,J$8:J21,$C$8:$C21)</f>
        <v>33055.246743197917</v>
      </c>
      <c r="N21" s="163">
        <f ca="1">OFFSET('Incr Power Cost Summary'!$D$13,0,ROW()-ROW($N$9))</f>
        <v>374319.23771846294</v>
      </c>
      <c r="P21" s="231">
        <f ca="1">OFFSET('Incr Power Cost Summary'!$E$14,0,ROW()-ROW($P$10))</f>
        <v>2.11267588333659E-2</v>
      </c>
      <c r="Q21" s="307">
        <f>'Price Forecast'!M20</f>
        <v>3.3327577180937595E-2</v>
      </c>
    </row>
    <row r="22" spans="1:18" ht="15" x14ac:dyDescent="0.25">
      <c r="A22" s="216">
        <f t="shared" si="3"/>
        <v>14</v>
      </c>
      <c r="B22" s="216">
        <f t="shared" si="1"/>
        <v>2027</v>
      </c>
      <c r="C22" s="166">
        <v>46568</v>
      </c>
      <c r="D22" s="311">
        <f>+'Incr Power Cost Summary'!E57+'Price Forecast'!$R$17/1000</f>
        <v>2438545.5575511642</v>
      </c>
      <c r="E22" s="311">
        <f>+'Incr Power Cost Summary'!D57+'Price Forecast'!$R$17/1000</f>
        <v>2373296.3722452023</v>
      </c>
      <c r="F22" s="213">
        <f t="shared" si="0"/>
        <v>65249.185305961873</v>
      </c>
      <c r="H22" s="312">
        <f t="shared" ca="1" si="4"/>
        <v>37218.778210873628</v>
      </c>
      <c r="I22" s="312"/>
      <c r="J22" s="312">
        <f t="shared" ca="1" si="2"/>
        <v>28030.407095088245</v>
      </c>
      <c r="K22" s="302"/>
      <c r="L22" s="312">
        <f ca="1">XNPV(0.0777,J$8:J22,$C$8:$C22)</f>
        <v>43261.432513765307</v>
      </c>
      <c r="N22" s="163">
        <f ca="1">OFFSET('Incr Power Cost Summary'!$D$13,0,ROW()-ROW($N$9))</f>
        <v>382112.46336494386</v>
      </c>
      <c r="P22" s="231">
        <f ca="1">OFFSET('Incr Power Cost Summary'!$E$14,0,ROW()-ROW($P$10))</f>
        <v>2.0819730489893828E-2</v>
      </c>
      <c r="Q22" s="307">
        <f>'Price Forecast'!M21</f>
        <v>3.4788128707736066E-2</v>
      </c>
    </row>
    <row r="23" spans="1:18" ht="15" x14ac:dyDescent="0.25">
      <c r="A23" s="216">
        <f t="shared" si="3"/>
        <v>15</v>
      </c>
      <c r="B23" s="216">
        <f t="shared" si="1"/>
        <v>2028</v>
      </c>
      <c r="C23" s="166">
        <v>46934</v>
      </c>
      <c r="D23" s="311">
        <f>+'Incr Power Cost Summary'!E58+'Price Forecast'!$R$17/1000</f>
        <v>2503416.4982542894</v>
      </c>
      <c r="E23" s="311">
        <f>+'Incr Power Cost Summary'!D58+'Price Forecast'!$R$17/1000</f>
        <v>2490775.3710215767</v>
      </c>
      <c r="F23" s="213">
        <f t="shared" si="0"/>
        <v>12641.127232712694</v>
      </c>
      <c r="H23" s="312">
        <f t="shared" ca="1" si="4"/>
        <v>38199.561036001243</v>
      </c>
      <c r="I23" s="312"/>
      <c r="J23" s="312">
        <f t="shared" ca="1" si="2"/>
        <v>-25558.43380328855</v>
      </c>
      <c r="K23" s="302"/>
      <c r="L23" s="312">
        <f ca="1">XNPV(0.0777,J$8:J23,$C$8:$C23)</f>
        <v>34628.042059716667</v>
      </c>
      <c r="N23" s="163">
        <f ca="1">OFFSET('Incr Power Cost Summary'!$D$13,0,ROW()-ROW($N$9))</f>
        <v>391235.28326448053</v>
      </c>
      <c r="P23" s="231">
        <f ca="1">OFFSET('Incr Power Cost Summary'!$E$14,0,ROW()-ROW($P$10))</f>
        <v>2.3874698614119172E-2</v>
      </c>
      <c r="Q23" s="307">
        <f>'Price Forecast'!M22</f>
        <v>2.4771289383789252E-3</v>
      </c>
    </row>
    <row r="24" spans="1:18" ht="15" x14ac:dyDescent="0.25">
      <c r="A24" s="216">
        <f t="shared" si="3"/>
        <v>16</v>
      </c>
      <c r="B24" s="216">
        <f t="shared" si="1"/>
        <v>2029</v>
      </c>
      <c r="C24" s="166">
        <v>47299</v>
      </c>
      <c r="D24" s="311">
        <f>+'Incr Power Cost Summary'!E59+'Price Forecast'!$R$17/1000</f>
        <v>2593931.7051529987</v>
      </c>
      <c r="E24" s="311">
        <f>+'Incr Power Cost Summary'!D59+'Price Forecast'!$R$17/1000</f>
        <v>2524945.525967177</v>
      </c>
      <c r="F24" s="213">
        <f t="shared" si="0"/>
        <v>68986.179185821675</v>
      </c>
      <c r="H24" s="312">
        <f t="shared" ca="1" si="4"/>
        <v>39413.416685823031</v>
      </c>
      <c r="I24" s="312"/>
      <c r="J24" s="312">
        <f t="shared" ca="1" si="2"/>
        <v>29572.762499998644</v>
      </c>
      <c r="K24" s="302"/>
      <c r="L24" s="312">
        <f ca="1">XNPV(0.0777,J$8:J24,$C$8:$C24)</f>
        <v>43897.218694784664</v>
      </c>
      <c r="N24" s="163">
        <f ca="1">OFFSET('Incr Power Cost Summary'!$D$13,0,ROW()-ROW($N$9))</f>
        <v>397299.89312899113</v>
      </c>
      <c r="P24" s="231">
        <f ca="1">OFFSET('Incr Power Cost Summary'!$E$14,0,ROW()-ROW($P$10))</f>
        <v>1.550118336441253E-2</v>
      </c>
      <c r="Q24" s="307">
        <f>'Price Forecast'!M23</f>
        <v>1.6275507699597069E-2</v>
      </c>
    </row>
    <row r="25" spans="1:18" ht="15" x14ac:dyDescent="0.25">
      <c r="A25" s="216">
        <f t="shared" si="3"/>
        <v>17</v>
      </c>
      <c r="B25" s="216">
        <f t="shared" si="1"/>
        <v>2030</v>
      </c>
      <c r="C25" s="166">
        <v>47664</v>
      </c>
      <c r="D25" s="311">
        <f>+'Incr Power Cost Summary'!E60+'Price Forecast'!$R$17/1000</f>
        <v>2746111.423434746</v>
      </c>
      <c r="E25" s="311">
        <f>+'Incr Power Cost Summary'!D60+'Price Forecast'!$R$17/1000</f>
        <v>2676505.6415755283</v>
      </c>
      <c r="F25" s="213">
        <f t="shared" si="0"/>
        <v>69605.781859217677</v>
      </c>
      <c r="H25" s="312">
        <f t="shared" ca="1" si="4"/>
        <v>41589.21530443486</v>
      </c>
      <c r="I25" s="312"/>
      <c r="J25" s="312">
        <f t="shared" ca="1" si="2"/>
        <v>28016.566554782818</v>
      </c>
      <c r="K25" s="302"/>
      <c r="L25" s="312">
        <f ca="1">XNPV(0.0777,J$8:J25,$C$8:$C25)</f>
        <v>52045.505201925618</v>
      </c>
      <c r="N25" s="163">
        <f ca="1">OFFSET('Incr Power Cost Summary'!$D$13,0,ROW()-ROW($N$9))</f>
        <v>405188.78617013991</v>
      </c>
      <c r="P25" s="231">
        <f ca="1">OFFSET('Incr Power Cost Summary'!$E$14,0,ROW()-ROW($P$10))</f>
        <v>1.9856267715097298E-2</v>
      </c>
      <c r="Q25" s="307">
        <f>'Price Forecast'!M24</f>
        <v>3.5348248958902762E-2</v>
      </c>
    </row>
    <row r="26" spans="1:18" ht="15" x14ac:dyDescent="0.25">
      <c r="A26" s="216">
        <f t="shared" si="3"/>
        <v>18</v>
      </c>
      <c r="B26" s="216">
        <f t="shared" si="1"/>
        <v>2031</v>
      </c>
      <c r="C26" s="166">
        <v>48029</v>
      </c>
      <c r="D26" s="311">
        <f>+'Incr Power Cost Summary'!E61+'Price Forecast'!$R$17/1000</f>
        <v>2831451.0724799898</v>
      </c>
      <c r="E26" s="311">
        <f>+'Incr Power Cost Summary'!D61+'Price Forecast'!$R$17/1000</f>
        <v>2819185.2697693431</v>
      </c>
      <c r="F26" s="213">
        <f t="shared" si="0"/>
        <v>12265.802710646763</v>
      </c>
      <c r="H26" s="312">
        <f t="shared" ca="1" si="4"/>
        <v>42779.067903678886</v>
      </c>
      <c r="I26" s="312"/>
      <c r="J26" s="312">
        <f t="shared" ca="1" si="2"/>
        <v>-30513.265193032123</v>
      </c>
      <c r="K26" s="302"/>
      <c r="L26" s="312">
        <f ca="1">XNPV(0.0777,J$8:J26,$C$8:$C26)</f>
        <v>43810.911408681233</v>
      </c>
      <c r="N26" s="163">
        <f ca="1">OFFSET('Incr Power Cost Summary'!$D$13,0,ROW()-ROW($N$9))</f>
        <v>413841.31669213623</v>
      </c>
      <c r="P26" s="231">
        <f ca="1">OFFSET('Incr Power Cost Summary'!$E$14,0,ROW()-ROW($P$10))</f>
        <v>2.1354318819581275E-2</v>
      </c>
      <c r="Q26" s="307">
        <f>'Price Forecast'!M25</f>
        <v>7.2553241018888937E-3</v>
      </c>
    </row>
    <row r="27" spans="1:18" ht="15" x14ac:dyDescent="0.25">
      <c r="A27" s="216">
        <f t="shared" si="3"/>
        <v>19</v>
      </c>
      <c r="B27" s="216">
        <f t="shared" si="1"/>
        <v>2032</v>
      </c>
      <c r="C27" s="166">
        <v>48395</v>
      </c>
      <c r="D27" s="311">
        <f>+'Incr Power Cost Summary'!E62+'Price Forecast'!$R$17/1000</f>
        <v>2928500.3399030007</v>
      </c>
      <c r="E27" s="311">
        <f>+'Incr Power Cost Summary'!D62+'Price Forecast'!$R$17/1000</f>
        <v>2854706.0130578498</v>
      </c>
      <c r="F27" s="213">
        <f t="shared" si="0"/>
        <v>73794.326845150907</v>
      </c>
      <c r="H27" s="312">
        <f t="shared" ca="1" si="4"/>
        <v>44265.502429548877</v>
      </c>
      <c r="I27" s="312"/>
      <c r="J27" s="312">
        <f t="shared" ca="1" si="2"/>
        <v>29528.82441560203</v>
      </c>
      <c r="K27" s="302"/>
      <c r="L27" s="312">
        <f ca="1">XNPV(0.0777,J$8:J27,$C$8:$C27)</f>
        <v>51203.775738854019</v>
      </c>
      <c r="N27" s="163">
        <f ca="1">OFFSET('Incr Power Cost Summary'!$D$13,0,ROW()-ROW($N$9))</f>
        <v>422679.02796782926</v>
      </c>
      <c r="P27" s="231">
        <f ca="1">OFFSET('Incr Power Cost Summary'!$E$14,0,ROW()-ROW($P$10))</f>
        <v>2.1355314027931005E-2</v>
      </c>
      <c r="Q27" s="307">
        <f>'Price Forecast'!M26</f>
        <v>1.3391458136830403E-2</v>
      </c>
    </row>
    <row r="28" spans="1:18" ht="15" x14ac:dyDescent="0.25">
      <c r="A28" s="216">
        <f t="shared" si="3"/>
        <v>20</v>
      </c>
      <c r="B28" s="216">
        <f t="shared" si="1"/>
        <v>2033</v>
      </c>
      <c r="C28" s="166">
        <v>48760</v>
      </c>
      <c r="D28" s="311">
        <f>+'Incr Power Cost Summary'!E63+'Price Forecast'!$R$17/1000</f>
        <v>3059285.1260864628</v>
      </c>
      <c r="E28" s="311">
        <f>+'Incr Power Cost Summary'!D63+'Price Forecast'!$R$17/1000</f>
        <v>2984220.0984799685</v>
      </c>
      <c r="F28" s="213">
        <f t="shared" si="0"/>
        <v>75065.027606494259</v>
      </c>
      <c r="H28" s="312">
        <f t="shared" ca="1" si="4"/>
        <v>45928.068614850759</v>
      </c>
      <c r="I28" s="312"/>
      <c r="J28" s="312">
        <f t="shared" ca="1" si="2"/>
        <v>29136.9589916435</v>
      </c>
      <c r="K28" s="302"/>
      <c r="L28" s="312">
        <f ca="1">XNPV(0.0777,J$8:J28,$C$8:$C28)</f>
        <v>57972.595014209859</v>
      </c>
      <c r="N28" s="163">
        <f ca="1">OFFSET('Incr Power Cost Summary'!$D$13,0,ROW()-ROW($N$9))</f>
        <v>431705.89207190275</v>
      </c>
      <c r="P28" s="231">
        <f ca="1">OFFSET('Incr Power Cost Summary'!$E$14,0,ROW()-ROW($P$10))</f>
        <v>2.1356309413961716E-2</v>
      </c>
      <c r="Q28" s="307">
        <f>'Price Forecast'!M27</f>
        <v>1.6202649460343554E-2</v>
      </c>
    </row>
    <row r="29" spans="1:18" ht="15.75" thickBot="1" x14ac:dyDescent="0.3">
      <c r="A29" s="216">
        <f t="shared" si="3"/>
        <v>21</v>
      </c>
      <c r="F29" s="213"/>
    </row>
    <row r="30" spans="1:18" ht="15" customHeight="1" x14ac:dyDescent="0.3">
      <c r="A30" s="216">
        <f t="shared" si="3"/>
        <v>22</v>
      </c>
      <c r="B30" t="s">
        <v>3</v>
      </c>
      <c r="D30" s="213">
        <f>XNPV(0.0777,D8:D28,$C8:$C28)</f>
        <v>19112504.396225814</v>
      </c>
      <c r="E30" s="213">
        <f>XNPV(0.0777,E8:E28,$C8:$C28)</f>
        <v>18748527.229868162</v>
      </c>
      <c r="F30" s="213">
        <f>XNPV(0.0777,F8:F28,$C8:$C28)</f>
        <v>363977.16635765368</v>
      </c>
      <c r="H30" s="214">
        <f ca="1">XNPV(0.0777,H8:H28,$C8:$C28)</f>
        <v>306004.57134344376</v>
      </c>
      <c r="I30" s="214"/>
      <c r="J30" s="312">
        <f ca="1">XNPV(0.0777,J8:J28,$C8:$C28)</f>
        <v>57972.595014209859</v>
      </c>
      <c r="L30" s="316" t="s">
        <v>247</v>
      </c>
      <c r="M30" s="317"/>
      <c r="N30" s="317"/>
      <c r="O30" s="317"/>
      <c r="P30" s="317"/>
      <c r="Q30" s="318"/>
      <c r="R30" s="310"/>
    </row>
    <row r="31" spans="1:18" x14ac:dyDescent="0.3">
      <c r="A31" s="216">
        <f t="shared" si="3"/>
        <v>23</v>
      </c>
      <c r="B31" t="s">
        <v>165</v>
      </c>
      <c r="D31" s="213">
        <f t="shared" ref="D31:F31" si="5">-PMT(0.0777,20,D30)</f>
        <v>1913451.874652324</v>
      </c>
      <c r="E31" s="213">
        <f>-PMT(0.0777,20,E30)</f>
        <v>1877012.2340453495</v>
      </c>
      <c r="F31" s="213">
        <f t="shared" si="5"/>
        <v>36439.640606974732</v>
      </c>
      <c r="H31" s="214">
        <f t="shared" ref="H31:J31" ca="1" si="6">-PMT(0.0777,20,H30)</f>
        <v>30635.703649853345</v>
      </c>
      <c r="I31" s="214"/>
      <c r="J31" s="312">
        <f t="shared" ca="1" si="6"/>
        <v>5803.9369571213792</v>
      </c>
      <c r="L31" s="319"/>
      <c r="M31" s="320"/>
      <c r="N31" s="320"/>
      <c r="O31" s="320"/>
      <c r="P31" s="320"/>
      <c r="Q31" s="321"/>
      <c r="R31" s="310"/>
    </row>
    <row r="32" spans="1:18" x14ac:dyDescent="0.3">
      <c r="A32" s="216">
        <f t="shared" si="3"/>
        <v>24</v>
      </c>
      <c r="F32" s="2"/>
      <c r="L32" s="319"/>
      <c r="M32" s="320"/>
      <c r="N32" s="320"/>
      <c r="O32" s="320"/>
      <c r="P32" s="320"/>
      <c r="Q32" s="321"/>
      <c r="R32" s="310"/>
    </row>
    <row r="33" spans="1:17" x14ac:dyDescent="0.3">
      <c r="A33" s="216">
        <f t="shared" si="3"/>
        <v>25</v>
      </c>
      <c r="B33" s="225"/>
      <c r="C33" s="225"/>
      <c r="D33" s="232"/>
      <c r="E33" s="232"/>
      <c r="F33" s="215"/>
      <c r="L33" s="319"/>
      <c r="M33" s="320"/>
      <c r="N33" s="320"/>
      <c r="O33" s="320"/>
      <c r="P33" s="320"/>
      <c r="Q33" s="321"/>
    </row>
    <row r="34" spans="1:17" x14ac:dyDescent="0.3">
      <c r="A34" s="216">
        <f t="shared" si="3"/>
        <v>26</v>
      </c>
      <c r="B34" s="222" t="s">
        <v>167</v>
      </c>
      <c r="C34" s="223"/>
      <c r="D34" s="223"/>
      <c r="E34" s="223"/>
      <c r="F34" s="223"/>
      <c r="G34" s="223"/>
      <c r="H34" s="240">
        <f>19773350.3736979/1000</f>
        <v>19773.3503736979</v>
      </c>
      <c r="L34" s="319"/>
      <c r="M34" s="320"/>
      <c r="N34" s="320"/>
      <c r="O34" s="320"/>
      <c r="P34" s="320"/>
      <c r="Q34" s="321"/>
    </row>
    <row r="35" spans="1:17" ht="16.2" x14ac:dyDescent="0.45">
      <c r="A35" s="216">
        <f t="shared" si="3"/>
        <v>27</v>
      </c>
      <c r="B35" s="224" t="s">
        <v>168</v>
      </c>
      <c r="C35" s="225"/>
      <c r="D35" s="225"/>
      <c r="E35" s="225"/>
      <c r="F35" s="225"/>
      <c r="G35" s="225"/>
      <c r="H35" s="233">
        <f>292472512.914116/1000</f>
        <v>292472.51291411603</v>
      </c>
      <c r="L35" s="319"/>
      <c r="M35" s="320"/>
      <c r="N35" s="320"/>
      <c r="O35" s="320"/>
      <c r="P35" s="320"/>
      <c r="Q35" s="321"/>
    </row>
    <row r="36" spans="1:17" x14ac:dyDescent="0.3">
      <c r="A36" s="216">
        <f t="shared" si="3"/>
        <v>28</v>
      </c>
      <c r="B36" s="224" t="s">
        <v>210</v>
      </c>
      <c r="C36" s="225"/>
      <c r="D36" s="225"/>
      <c r="E36" s="225"/>
      <c r="F36" s="225"/>
      <c r="G36" s="225"/>
      <c r="H36" s="226">
        <f>H34*1000/H35</f>
        <v>67.607551139358876</v>
      </c>
      <c r="L36" s="319"/>
      <c r="M36" s="320"/>
      <c r="N36" s="320"/>
      <c r="O36" s="320"/>
      <c r="P36" s="320"/>
      <c r="Q36" s="321"/>
    </row>
    <row r="37" spans="1:17" x14ac:dyDescent="0.3">
      <c r="A37" s="216">
        <f t="shared" si="3"/>
        <v>29</v>
      </c>
      <c r="B37" s="224" t="s">
        <v>206</v>
      </c>
      <c r="C37" s="225"/>
      <c r="D37" s="225"/>
      <c r="E37" s="225"/>
      <c r="F37" s="225"/>
      <c r="G37" s="225"/>
      <c r="H37" s="234">
        <v>-5.1582561617362051E-3</v>
      </c>
      <c r="L37" s="319"/>
      <c r="M37" s="320"/>
      <c r="N37" s="320"/>
      <c r="O37" s="320"/>
      <c r="P37" s="320"/>
      <c r="Q37" s="321"/>
    </row>
    <row r="38" spans="1:17" x14ac:dyDescent="0.3">
      <c r="A38" s="216">
        <f t="shared" si="3"/>
        <v>30</v>
      </c>
      <c r="B38" s="227" t="s">
        <v>209</v>
      </c>
      <c r="C38" s="221"/>
      <c r="D38" s="221"/>
      <c r="E38" s="221"/>
      <c r="F38" s="221"/>
      <c r="G38" s="221"/>
      <c r="H38" s="228">
        <f>H36*(1+H37)</f>
        <v>67.25881407211439</v>
      </c>
      <c r="L38" s="319"/>
      <c r="M38" s="320"/>
      <c r="N38" s="320"/>
      <c r="O38" s="320"/>
      <c r="P38" s="320"/>
      <c r="Q38" s="321"/>
    </row>
    <row r="39" spans="1:17" x14ac:dyDescent="0.3">
      <c r="A39" s="216">
        <f t="shared" si="3"/>
        <v>31</v>
      </c>
      <c r="L39" s="319"/>
      <c r="M39" s="320"/>
      <c r="N39" s="320"/>
      <c r="O39" s="320"/>
      <c r="P39" s="320"/>
      <c r="Q39" s="321"/>
    </row>
    <row r="40" spans="1:17" x14ac:dyDescent="0.3">
      <c r="A40" s="216">
        <f t="shared" si="3"/>
        <v>32</v>
      </c>
      <c r="B40" t="s">
        <v>179</v>
      </c>
      <c r="L40" s="319"/>
      <c r="M40" s="320"/>
      <c r="N40" s="320"/>
      <c r="O40" s="320"/>
      <c r="P40" s="320"/>
      <c r="Q40" s="321"/>
    </row>
    <row r="41" spans="1:17" x14ac:dyDescent="0.3">
      <c r="L41" s="319"/>
      <c r="M41" s="320"/>
      <c r="N41" s="320"/>
      <c r="O41" s="320"/>
      <c r="P41" s="320"/>
      <c r="Q41" s="321"/>
    </row>
    <row r="42" spans="1:17" x14ac:dyDescent="0.3">
      <c r="L42" s="319"/>
      <c r="M42" s="320"/>
      <c r="N42" s="320"/>
      <c r="O42" s="320"/>
      <c r="P42" s="320"/>
      <c r="Q42" s="321"/>
    </row>
    <row r="43" spans="1:17" x14ac:dyDescent="0.3">
      <c r="L43" s="319"/>
      <c r="M43" s="320"/>
      <c r="N43" s="320"/>
      <c r="O43" s="320"/>
      <c r="P43" s="320"/>
      <c r="Q43" s="321"/>
    </row>
    <row r="44" spans="1:17" ht="15" thickBot="1" x14ac:dyDescent="0.35">
      <c r="L44" s="322"/>
      <c r="M44" s="323"/>
      <c r="N44" s="323"/>
      <c r="O44" s="323"/>
      <c r="P44" s="323"/>
      <c r="Q44" s="324"/>
    </row>
    <row r="45" spans="1:17" x14ac:dyDescent="0.3">
      <c r="L45" s="313"/>
      <c r="M45" s="313"/>
      <c r="N45" s="313"/>
      <c r="O45" s="313"/>
      <c r="P45" s="313"/>
      <c r="Q45" s="313"/>
    </row>
    <row r="46" spans="1:17" x14ac:dyDescent="0.3">
      <c r="L46" s="313"/>
      <c r="M46" s="313"/>
      <c r="N46" s="313"/>
      <c r="O46" s="313"/>
      <c r="P46" s="313"/>
      <c r="Q46" s="313"/>
    </row>
    <row r="47" spans="1:17" x14ac:dyDescent="0.3">
      <c r="L47" s="313"/>
      <c r="M47" s="313"/>
      <c r="N47" s="313"/>
      <c r="O47" s="313"/>
      <c r="P47" s="313"/>
      <c r="Q47" s="313"/>
    </row>
    <row r="48" spans="1:17" x14ac:dyDescent="0.3">
      <c r="L48" s="313"/>
      <c r="M48" s="313"/>
      <c r="N48" s="313"/>
      <c r="O48" s="313"/>
      <c r="P48" s="313"/>
      <c r="Q48" s="313"/>
    </row>
  </sheetData>
  <mergeCells count="4">
    <mergeCell ref="D5:F5"/>
    <mergeCell ref="P5:Q5"/>
    <mergeCell ref="D1:J2"/>
    <mergeCell ref="L30:Q44"/>
  </mergeCells>
  <pageMargins left="0.7" right="0.7" top="0.92958333333333298" bottom="0.75" header="0.3" footer="0.3"/>
  <pageSetup scale="73" orientation="landscape" r:id="rId1"/>
  <headerFooter>
    <oddHeader>&amp;R&amp;"-,Bold"t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6"/>
  <sheetViews>
    <sheetView workbookViewId="0">
      <selection activeCell="I8" sqref="I8"/>
    </sheetView>
  </sheetViews>
  <sheetFormatPr defaultRowHeight="14.4" x14ac:dyDescent="0.3"/>
  <cols>
    <col min="1" max="1" width="9" customWidth="1"/>
    <col min="2" max="2" width="3.33203125" customWidth="1"/>
    <col min="3" max="3" width="6.88671875" bestFit="1" customWidth="1"/>
    <col min="4" max="4" width="11.5546875" bestFit="1" customWidth="1"/>
    <col min="5" max="5" width="22.5546875" bestFit="1" customWidth="1"/>
    <col min="6" max="6" width="8.88671875" bestFit="1" customWidth="1"/>
    <col min="7" max="7" width="11.5546875" bestFit="1" customWidth="1"/>
    <col min="8" max="8" width="19.88671875" bestFit="1" customWidth="1"/>
    <col min="9" max="9" width="9" bestFit="1" customWidth="1"/>
    <col min="10" max="11" width="10.109375" bestFit="1" customWidth="1"/>
    <col min="12" max="12" width="10" bestFit="1" customWidth="1"/>
    <col min="13" max="13" width="11.5546875" bestFit="1" customWidth="1"/>
    <col min="14" max="14" width="5.88671875" customWidth="1"/>
    <col min="15" max="15" width="37.33203125" customWidth="1"/>
    <col min="16" max="16" width="15" bestFit="1" customWidth="1"/>
    <col min="17" max="17" width="6" bestFit="1" customWidth="1"/>
    <col min="18" max="18" width="15.33203125" bestFit="1" customWidth="1"/>
    <col min="22" max="22" width="9.6640625" bestFit="1" customWidth="1"/>
    <col min="24" max="24" width="11.5546875" bestFit="1" customWidth="1"/>
    <col min="26" max="26" width="13.33203125" bestFit="1" customWidth="1"/>
    <col min="28" max="28" width="11.109375" bestFit="1" customWidth="1"/>
  </cols>
  <sheetData>
    <row r="1" spans="1:28" ht="15" x14ac:dyDescent="0.25">
      <c r="AB1" t="s">
        <v>177</v>
      </c>
    </row>
    <row r="2" spans="1:28" ht="15.75" x14ac:dyDescent="0.25">
      <c r="A2" s="270" t="s">
        <v>215</v>
      </c>
      <c r="Z2" s="216" t="s">
        <v>183</v>
      </c>
      <c r="AB2" t="s">
        <v>239</v>
      </c>
    </row>
    <row r="3" spans="1:28" ht="15" x14ac:dyDescent="0.25">
      <c r="A3" s="241"/>
      <c r="V3" t="s">
        <v>231</v>
      </c>
      <c r="Z3" s="216" t="s">
        <v>231</v>
      </c>
      <c r="AB3" t="s">
        <v>231</v>
      </c>
    </row>
    <row r="4" spans="1:28" ht="15" x14ac:dyDescent="0.25">
      <c r="A4" s="241"/>
      <c r="C4" t="s">
        <v>182</v>
      </c>
      <c r="D4" t="s">
        <v>183</v>
      </c>
      <c r="F4" t="s">
        <v>182</v>
      </c>
      <c r="G4" t="s">
        <v>183</v>
      </c>
      <c r="I4" s="242" t="s">
        <v>184</v>
      </c>
      <c r="J4" s="271"/>
      <c r="K4" s="243"/>
      <c r="L4" s="243"/>
      <c r="M4" s="244"/>
      <c r="V4" s="296" t="s">
        <v>232</v>
      </c>
      <c r="Z4" s="297" t="s">
        <v>232</v>
      </c>
      <c r="AB4" s="297" t="s">
        <v>232</v>
      </c>
    </row>
    <row r="5" spans="1:28" ht="15" x14ac:dyDescent="0.25">
      <c r="A5" s="241"/>
      <c r="C5" s="239" t="s">
        <v>101</v>
      </c>
      <c r="D5" t="s">
        <v>185</v>
      </c>
      <c r="F5" s="239" t="s">
        <v>101</v>
      </c>
      <c r="G5" t="s">
        <v>185</v>
      </c>
      <c r="I5" s="216" t="s">
        <v>186</v>
      </c>
      <c r="J5" s="216" t="s">
        <v>187</v>
      </c>
      <c r="K5" s="216" t="s">
        <v>187</v>
      </c>
      <c r="L5" s="216" t="s">
        <v>26</v>
      </c>
      <c r="M5" t="s">
        <v>183</v>
      </c>
      <c r="N5" s="216"/>
      <c r="V5" t="s">
        <v>233</v>
      </c>
      <c r="Z5" s="216" t="s">
        <v>236</v>
      </c>
      <c r="AB5" s="216" t="s">
        <v>236</v>
      </c>
    </row>
    <row r="6" spans="1:28" ht="15.75" x14ac:dyDescent="0.25">
      <c r="A6" s="241"/>
      <c r="C6" s="270" t="s">
        <v>216</v>
      </c>
      <c r="F6" s="270" t="s">
        <v>217</v>
      </c>
      <c r="I6" s="296" t="s">
        <v>243</v>
      </c>
      <c r="J6" s="216" t="s">
        <v>218</v>
      </c>
      <c r="K6" s="216" t="s">
        <v>219</v>
      </c>
      <c r="M6" t="s">
        <v>185</v>
      </c>
      <c r="V6" t="s">
        <v>234</v>
      </c>
      <c r="Z6" s="216" t="s">
        <v>237</v>
      </c>
      <c r="AB6" s="216" t="s">
        <v>237</v>
      </c>
    </row>
    <row r="7" spans="1:28" ht="15" x14ac:dyDescent="0.25">
      <c r="A7" s="241"/>
      <c r="C7" s="245"/>
      <c r="F7" s="245"/>
      <c r="I7" s="246" t="s">
        <v>244</v>
      </c>
      <c r="J7" s="246"/>
      <c r="K7" s="246"/>
      <c r="L7" s="247"/>
      <c r="O7" s="248" t="s">
        <v>188</v>
      </c>
      <c r="P7" s="249"/>
      <c r="Q7" s="249"/>
      <c r="R7" s="250"/>
      <c r="V7" t="s">
        <v>235</v>
      </c>
      <c r="Z7" s="216" t="s">
        <v>238</v>
      </c>
      <c r="AB7" s="216" t="s">
        <v>238</v>
      </c>
    </row>
    <row r="8" spans="1:28" ht="15" x14ac:dyDescent="0.25">
      <c r="A8" s="241">
        <v>2014</v>
      </c>
      <c r="C8" s="299">
        <v>31.87</v>
      </c>
      <c r="D8" s="300"/>
      <c r="E8" t="s">
        <v>211</v>
      </c>
      <c r="F8" s="299">
        <v>3.99</v>
      </c>
      <c r="G8" s="300"/>
      <c r="H8" t="s">
        <v>220</v>
      </c>
      <c r="I8" s="304">
        <v>48.1</v>
      </c>
      <c r="J8" s="303">
        <f>+P19</f>
        <v>4.8471585040667913</v>
      </c>
      <c r="K8" s="303">
        <f>P18</f>
        <v>11.232739039964063</v>
      </c>
      <c r="L8" s="308">
        <f t="shared" ref="L8:L27" si="0">SUM(I8:K8)</f>
        <v>64.179897544030851</v>
      </c>
      <c r="M8" s="309"/>
      <c r="O8" s="251" t="s">
        <v>189</v>
      </c>
      <c r="P8" s="252" t="s">
        <v>190</v>
      </c>
      <c r="Q8" s="252" t="s">
        <v>191</v>
      </c>
      <c r="R8" s="253" t="s">
        <v>192</v>
      </c>
      <c r="U8" s="298">
        <v>48.1</v>
      </c>
      <c r="V8" s="295">
        <f>+I8-U8</f>
        <v>0</v>
      </c>
      <c r="X8" s="1">
        <v>22925682</v>
      </c>
      <c r="Z8" s="1">
        <f>+V8*X8</f>
        <v>0</v>
      </c>
    </row>
    <row r="9" spans="1:28" ht="15" x14ac:dyDescent="0.25">
      <c r="A9" s="241">
        <v>2015</v>
      </c>
      <c r="C9" s="299">
        <v>30.31</v>
      </c>
      <c r="D9" s="300">
        <f t="shared" ref="D9:D27" si="1">C9/C8-1</f>
        <v>-4.8948854722309476E-2</v>
      </c>
      <c r="F9" s="299">
        <v>4.0045822751322753</v>
      </c>
      <c r="G9" s="300">
        <f t="shared" ref="G9:G27" si="2">F9/F8-1</f>
        <v>3.6547055469360323E-3</v>
      </c>
      <c r="H9" s="268">
        <f>G9-D9</f>
        <v>5.2603560269245508E-2</v>
      </c>
      <c r="I9" s="304">
        <v>48.34</v>
      </c>
      <c r="J9" s="303">
        <f>J8*(1+G9)</f>
        <v>4.8648734411384824</v>
      </c>
      <c r="K9" s="303">
        <f>K8*(1+D9)</f>
        <v>10.682909328563248</v>
      </c>
      <c r="L9" s="275">
        <f t="shared" si="0"/>
        <v>63.887782769701737</v>
      </c>
      <c r="M9" s="309">
        <f>L9/L8-1</f>
        <v>-4.5514995428078686E-3</v>
      </c>
      <c r="O9" s="287" t="s">
        <v>193</v>
      </c>
      <c r="P9" s="288">
        <v>517802799.6277926</v>
      </c>
      <c r="Q9" s="289">
        <f>P9/$P$14</f>
        <v>0.40761654465443042</v>
      </c>
      <c r="R9" s="290">
        <f>Q9*$P$16</f>
        <v>24.75679731907962</v>
      </c>
      <c r="U9" s="298">
        <v>48.34</v>
      </c>
      <c r="V9" s="295">
        <f t="shared" ref="V9:V27" si="3">+I9-U9</f>
        <v>0</v>
      </c>
      <c r="X9" s="1">
        <v>23104628</v>
      </c>
      <c r="Z9" s="1">
        <f t="shared" ref="Z9:Z27" si="4">+V9*X9</f>
        <v>0</v>
      </c>
    </row>
    <row r="10" spans="1:28" ht="15" x14ac:dyDescent="0.25">
      <c r="A10" s="241">
        <v>2016</v>
      </c>
      <c r="C10" s="299">
        <v>31.75</v>
      </c>
      <c r="D10" s="300">
        <f t="shared" si="1"/>
        <v>4.7509072913229922E-2</v>
      </c>
      <c r="F10" s="299">
        <v>4.200838690476191</v>
      </c>
      <c r="G10" s="300">
        <f t="shared" si="2"/>
        <v>4.9007961844767634E-2</v>
      </c>
      <c r="H10" s="268">
        <f t="shared" ref="H10:H27" si="5">G10-D10</f>
        <v>1.4988889315377119E-3</v>
      </c>
      <c r="I10" s="304">
        <v>48.91</v>
      </c>
      <c r="J10" s="303">
        <f t="shared" ref="J10:J27" si="6">J9*(1+G10)</f>
        <v>5.1032909731214202</v>
      </c>
      <c r="K10" s="303">
        <f t="shared" ref="K10:K27" si="7">K9*(1+D10)</f>
        <v>11.190444446779384</v>
      </c>
      <c r="L10" s="275">
        <f t="shared" si="0"/>
        <v>65.203735419900795</v>
      </c>
      <c r="M10" s="309">
        <f t="shared" ref="M10:M27" si="8">L10/L9-1</f>
        <v>2.0597876356778677E-2</v>
      </c>
      <c r="O10" s="287" t="s">
        <v>194</v>
      </c>
      <c r="P10" s="291">
        <v>377449846.48389447</v>
      </c>
      <c r="Q10" s="289">
        <f>P10/$P$14</f>
        <v>0.29713010882657315</v>
      </c>
      <c r="R10" s="290">
        <f>Q10*$P$16</f>
        <v>18.046347671809567</v>
      </c>
      <c r="U10" s="298">
        <v>48.91</v>
      </c>
      <c r="V10" s="295">
        <f t="shared" si="3"/>
        <v>0</v>
      </c>
      <c r="X10" s="1">
        <v>23363986</v>
      </c>
      <c r="Z10" s="1">
        <f t="shared" si="4"/>
        <v>0</v>
      </c>
    </row>
    <row r="11" spans="1:28" ht="15" x14ac:dyDescent="0.25">
      <c r="A11" s="241">
        <v>2017</v>
      </c>
      <c r="C11" s="299">
        <v>36</v>
      </c>
      <c r="D11" s="300">
        <f t="shared" si="1"/>
        <v>0.13385826771653542</v>
      </c>
      <c r="F11" s="299">
        <v>4.7519893372560782</v>
      </c>
      <c r="G11" s="300">
        <f t="shared" si="2"/>
        <v>0.13120014534940672</v>
      </c>
      <c r="H11" s="268">
        <f t="shared" si="5"/>
        <v>-2.6581223671287013E-3</v>
      </c>
      <c r="I11" s="304">
        <v>49.47</v>
      </c>
      <c r="J11" s="303">
        <f t="shared" si="6"/>
        <v>5.7728434905552657</v>
      </c>
      <c r="K11" s="303">
        <f t="shared" si="7"/>
        <v>12.688377955403396</v>
      </c>
      <c r="L11" s="275">
        <f t="shared" si="0"/>
        <v>67.93122144595867</v>
      </c>
      <c r="M11" s="309">
        <f t="shared" si="8"/>
        <v>4.1830211237030124E-2</v>
      </c>
      <c r="O11" s="282" t="s">
        <v>212</v>
      </c>
      <c r="P11" s="283">
        <v>234939263.24223062</v>
      </c>
      <c r="Q11" s="256">
        <f>P11/$P$14</f>
        <v>0.18494517749864164</v>
      </c>
      <c r="R11" s="284">
        <f>Q11*$P$16</f>
        <v>11.232739039964063</v>
      </c>
      <c r="U11" s="298">
        <v>49.47</v>
      </c>
      <c r="V11" s="295">
        <f t="shared" si="3"/>
        <v>0</v>
      </c>
      <c r="X11" s="1">
        <v>23417822</v>
      </c>
      <c r="Z11" s="1">
        <f t="shared" si="4"/>
        <v>0</v>
      </c>
    </row>
    <row r="12" spans="1:28" ht="15" x14ac:dyDescent="0.25">
      <c r="A12" s="241">
        <v>2018</v>
      </c>
      <c r="C12" s="299">
        <v>40.61</v>
      </c>
      <c r="D12" s="300">
        <f t="shared" si="1"/>
        <v>0.12805555555555559</v>
      </c>
      <c r="F12" s="299">
        <v>5.3031399840359645</v>
      </c>
      <c r="G12" s="300">
        <f t="shared" si="2"/>
        <v>0.11598314046262881</v>
      </c>
      <c r="H12" s="268">
        <f t="shared" si="5"/>
        <v>-1.207241509292678E-2</v>
      </c>
      <c r="I12" s="304">
        <v>51.44</v>
      </c>
      <c r="J12" s="303">
        <f t="shared" si="6"/>
        <v>6.4423960079891094</v>
      </c>
      <c r="K12" s="303">
        <f t="shared" si="7"/>
        <v>14.313195243581443</v>
      </c>
      <c r="L12" s="275">
        <f t="shared" si="0"/>
        <v>72.195591251570548</v>
      </c>
      <c r="M12" s="309">
        <f t="shared" si="8"/>
        <v>6.2774814214172636E-2</v>
      </c>
      <c r="O12" s="277" t="s">
        <v>213</v>
      </c>
      <c r="P12" s="278">
        <v>101381136.3116478</v>
      </c>
      <c r="Q12" s="255">
        <f>P12/$P$14</f>
        <v>7.9807657483116509E-2</v>
      </c>
      <c r="R12" s="279">
        <f>Q12*$P$16</f>
        <v>4.8471585040667913</v>
      </c>
      <c r="U12" s="298">
        <v>51.44</v>
      </c>
      <c r="V12" s="295">
        <f t="shared" si="3"/>
        <v>0</v>
      </c>
      <c r="X12" s="1">
        <v>23481456</v>
      </c>
      <c r="Z12" s="1">
        <f t="shared" si="4"/>
        <v>0</v>
      </c>
    </row>
    <row r="13" spans="1:28" ht="15" x14ac:dyDescent="0.25">
      <c r="A13" s="241">
        <v>2019</v>
      </c>
      <c r="C13" s="299">
        <v>45.24</v>
      </c>
      <c r="D13" s="300">
        <f t="shared" si="1"/>
        <v>0.11401132725929575</v>
      </c>
      <c r="F13" s="299">
        <v>5.85594573786324</v>
      </c>
      <c r="G13" s="300">
        <f t="shared" si="2"/>
        <v>0.10424121473153369</v>
      </c>
      <c r="H13" s="268">
        <f t="shared" si="5"/>
        <v>-9.7701125277620537E-3</v>
      </c>
      <c r="I13" s="304">
        <v>51.75</v>
      </c>
      <c r="J13" s="303">
        <f t="shared" si="6"/>
        <v>7.1139591936434776</v>
      </c>
      <c r="K13" s="303">
        <f t="shared" si="7"/>
        <v>15.945061630623602</v>
      </c>
      <c r="L13" s="275">
        <f t="shared" si="0"/>
        <v>74.80902082426708</v>
      </c>
      <c r="M13" s="309">
        <f t="shared" si="8"/>
        <v>3.6199295931933717E-2</v>
      </c>
      <c r="O13" s="287" t="s">
        <v>195</v>
      </c>
      <c r="P13" s="292">
        <v>38745361.225342378</v>
      </c>
      <c r="Q13" s="289">
        <f>P13/$P$14</f>
        <v>3.0500511537238355E-2</v>
      </c>
      <c r="R13" s="290">
        <f>Q13*$P$16</f>
        <v>1.8524640183479664</v>
      </c>
      <c r="U13" s="298">
        <v>51.75</v>
      </c>
      <c r="V13" s="295">
        <f t="shared" si="3"/>
        <v>0</v>
      </c>
      <c r="X13" s="1">
        <v>23513208</v>
      </c>
      <c r="Z13" s="1">
        <f t="shared" si="4"/>
        <v>0</v>
      </c>
    </row>
    <row r="14" spans="1:28" ht="15" x14ac:dyDescent="0.25">
      <c r="A14" s="241">
        <v>2020</v>
      </c>
      <c r="C14" s="299">
        <v>45.7</v>
      </c>
      <c r="D14" s="300">
        <f t="shared" si="1"/>
        <v>1.0167992926613634E-2</v>
      </c>
      <c r="F14" s="299">
        <v>6.1904528923330284</v>
      </c>
      <c r="G14" s="300">
        <f t="shared" si="2"/>
        <v>5.712265267537231E-2</v>
      </c>
      <c r="H14" s="268">
        <f t="shared" si="5"/>
        <v>4.6954659748758676E-2</v>
      </c>
      <c r="I14" s="304">
        <v>51.71</v>
      </c>
      <c r="J14" s="303">
        <f t="shared" si="6"/>
        <v>7.5203274138087455</v>
      </c>
      <c r="K14" s="303">
        <f t="shared" si="7"/>
        <v>16.1071909044982</v>
      </c>
      <c r="L14" s="275">
        <f t="shared" si="0"/>
        <v>75.337518318306948</v>
      </c>
      <c r="M14" s="309">
        <f t="shared" si="8"/>
        <v>7.0646225310362354E-3</v>
      </c>
      <c r="O14" s="258" t="s">
        <v>196</v>
      </c>
      <c r="P14" s="259">
        <f>SUM(P9:P13)</f>
        <v>1270318406.8909078</v>
      </c>
      <c r="Q14" s="260">
        <f>SUM(Q9:Q13)</f>
        <v>1.0000000000000002</v>
      </c>
      <c r="R14" s="261">
        <f>SUM(R9:R13)</f>
        <v>60.73550655326801</v>
      </c>
      <c r="U14" s="298">
        <v>51.71</v>
      </c>
      <c r="V14" s="295">
        <f t="shared" si="3"/>
        <v>0</v>
      </c>
      <c r="X14" s="1">
        <v>23595474</v>
      </c>
      <c r="Z14" s="1">
        <f t="shared" si="4"/>
        <v>0</v>
      </c>
    </row>
    <row r="15" spans="1:28" ht="15" x14ac:dyDescent="0.25">
      <c r="A15" s="241">
        <v>2021</v>
      </c>
      <c r="C15" s="299">
        <v>48.96</v>
      </c>
      <c r="D15" s="300">
        <f t="shared" si="1"/>
        <v>7.1334792122538238E-2</v>
      </c>
      <c r="F15" s="299">
        <v>6.4515776347765472</v>
      </c>
      <c r="G15" s="300">
        <f t="shared" si="2"/>
        <v>4.218184791728663E-2</v>
      </c>
      <c r="H15" s="268">
        <f t="shared" si="5"/>
        <v>-2.9152944205251607E-2</v>
      </c>
      <c r="I15" s="304">
        <v>51.84</v>
      </c>
      <c r="J15" s="303">
        <f t="shared" si="6"/>
        <v>7.8375487210662271</v>
      </c>
      <c r="K15" s="303">
        <f t="shared" si="7"/>
        <v>17.256194019348619</v>
      </c>
      <c r="L15" s="275">
        <f t="shared" si="0"/>
        <v>76.933742740414857</v>
      </c>
      <c r="M15" s="309">
        <f t="shared" si="8"/>
        <v>2.11876427275417E-2</v>
      </c>
      <c r="O15" s="254" t="s">
        <v>197</v>
      </c>
      <c r="P15" s="262">
        <v>20915581</v>
      </c>
      <c r="Q15" s="263"/>
      <c r="R15" s="249"/>
      <c r="U15" s="298">
        <v>51.84</v>
      </c>
      <c r="V15" s="295">
        <f t="shared" si="3"/>
        <v>0</v>
      </c>
      <c r="X15" s="1">
        <v>23501476</v>
      </c>
      <c r="Z15" s="1">
        <f t="shared" si="4"/>
        <v>0</v>
      </c>
    </row>
    <row r="16" spans="1:28" ht="15.75" thickBot="1" x14ac:dyDescent="0.3">
      <c r="A16" s="241">
        <v>2022</v>
      </c>
      <c r="C16" s="299">
        <v>49.37</v>
      </c>
      <c r="D16" s="300">
        <f t="shared" si="1"/>
        <v>8.3741830065358069E-3</v>
      </c>
      <c r="F16" s="299">
        <v>6.5529902353286333</v>
      </c>
      <c r="G16" s="300">
        <f t="shared" si="2"/>
        <v>1.5719039015423375E-2</v>
      </c>
      <c r="H16" s="268">
        <f t="shared" si="5"/>
        <v>7.3448560088875681E-3</v>
      </c>
      <c r="I16" s="304">
        <v>57.79</v>
      </c>
      <c r="J16" s="303">
        <f t="shared" si="6"/>
        <v>7.9607474551979491</v>
      </c>
      <c r="K16" s="303">
        <f t="shared" si="7"/>
        <v>17.400700546062932</v>
      </c>
      <c r="L16" s="275">
        <f t="shared" si="0"/>
        <v>83.151448001260889</v>
      </c>
      <c r="M16" s="309">
        <f t="shared" si="8"/>
        <v>8.081896238722508E-2</v>
      </c>
      <c r="O16" s="254" t="s">
        <v>198</v>
      </c>
      <c r="P16" s="264">
        <f>P14/P15</f>
        <v>60.735506553268003</v>
      </c>
      <c r="Q16" s="263"/>
      <c r="R16" s="263"/>
      <c r="U16" s="298">
        <v>57.79</v>
      </c>
      <c r="V16" s="295">
        <f t="shared" si="3"/>
        <v>0</v>
      </c>
      <c r="X16" s="1">
        <v>23645232</v>
      </c>
      <c r="Z16" s="1">
        <f t="shared" si="4"/>
        <v>0</v>
      </c>
    </row>
    <row r="17" spans="1:26" ht="15.75" thickBot="1" x14ac:dyDescent="0.3">
      <c r="A17" s="241">
        <v>2023</v>
      </c>
      <c r="C17" s="299">
        <v>51.59</v>
      </c>
      <c r="D17" s="300">
        <f t="shared" si="1"/>
        <v>4.4966578894065412E-2</v>
      </c>
      <c r="F17" s="299">
        <v>6.8692307730914584</v>
      </c>
      <c r="G17" s="300">
        <f t="shared" si="2"/>
        <v>4.8258966732149577E-2</v>
      </c>
      <c r="H17" s="268">
        <f t="shared" si="5"/>
        <v>3.2923878380841654E-3</v>
      </c>
      <c r="I17" s="304">
        <v>58.48</v>
      </c>
      <c r="J17" s="303">
        <f t="shared" si="6"/>
        <v>8.3449249018013916</v>
      </c>
      <c r="K17" s="303">
        <f t="shared" si="7"/>
        <v>18.183150519979478</v>
      </c>
      <c r="L17" s="275">
        <f t="shared" si="0"/>
        <v>85.008075421780859</v>
      </c>
      <c r="M17" s="309">
        <f t="shared" si="8"/>
        <v>2.2328263249147717E-2</v>
      </c>
      <c r="O17" s="293" t="s">
        <v>199</v>
      </c>
      <c r="P17" s="294">
        <f>R9+R10+R13</f>
        <v>44.655609009237153</v>
      </c>
      <c r="R17" s="306">
        <f>+P9+P10+P13</f>
        <v>933998007.33702946</v>
      </c>
      <c r="U17" s="298">
        <v>58.48</v>
      </c>
      <c r="V17" s="295">
        <f t="shared" si="3"/>
        <v>0</v>
      </c>
      <c r="X17" s="1">
        <v>23928782</v>
      </c>
      <c r="Z17" s="1">
        <f t="shared" si="4"/>
        <v>0</v>
      </c>
    </row>
    <row r="18" spans="1:26" ht="15" customHeight="1" x14ac:dyDescent="0.3">
      <c r="A18" s="241">
        <v>2024</v>
      </c>
      <c r="C18" s="299">
        <v>52.9</v>
      </c>
      <c r="D18" s="300">
        <f t="shared" si="1"/>
        <v>2.5392517929831326E-2</v>
      </c>
      <c r="F18" s="299">
        <v>6.9498799740641592</v>
      </c>
      <c r="G18" s="300">
        <f t="shared" si="2"/>
        <v>1.1740645151801399E-2</v>
      </c>
      <c r="H18" s="268">
        <f t="shared" si="5"/>
        <v>-1.3651872778029928E-2</v>
      </c>
      <c r="I18" s="304">
        <v>58.01</v>
      </c>
      <c r="J18" s="303">
        <f t="shared" si="6"/>
        <v>8.4428997038918734</v>
      </c>
      <c r="K18" s="303">
        <f t="shared" si="7"/>
        <v>18.644866495578878</v>
      </c>
      <c r="L18" s="275">
        <f t="shared" si="0"/>
        <v>85.097766199470755</v>
      </c>
      <c r="M18" s="309">
        <f t="shared" si="8"/>
        <v>1.0550853815343153E-3</v>
      </c>
      <c r="O18" s="285" t="s">
        <v>221</v>
      </c>
      <c r="P18" s="286">
        <f>R11</f>
        <v>11.232739039964063</v>
      </c>
      <c r="R18" s="325" t="s">
        <v>240</v>
      </c>
      <c r="U18" s="298">
        <v>58.01</v>
      </c>
      <c r="V18" s="295">
        <f t="shared" si="3"/>
        <v>0</v>
      </c>
      <c r="X18" s="1">
        <v>24337296</v>
      </c>
      <c r="Z18" s="1">
        <f t="shared" si="4"/>
        <v>0</v>
      </c>
    </row>
    <row r="19" spans="1:26" x14ac:dyDescent="0.3">
      <c r="A19" s="241">
        <v>2025</v>
      </c>
      <c r="C19" s="299">
        <v>54.79</v>
      </c>
      <c r="D19" s="300">
        <f t="shared" si="1"/>
        <v>3.5727788279773076E-2</v>
      </c>
      <c r="F19" s="299">
        <v>7.2433970364267379</v>
      </c>
      <c r="G19" s="300">
        <f t="shared" si="2"/>
        <v>4.2233400210929917E-2</v>
      </c>
      <c r="H19" s="268">
        <f t="shared" si="5"/>
        <v>6.5056119311568406E-3</v>
      </c>
      <c r="I19" s="304">
        <v>59.21</v>
      </c>
      <c r="J19" s="303">
        <f t="shared" si="6"/>
        <v>8.7994720660270804</v>
      </c>
      <c r="K19" s="303">
        <f t="shared" si="7"/>
        <v>19.311006338237554</v>
      </c>
      <c r="L19" s="275">
        <f t="shared" si="0"/>
        <v>87.320478404264634</v>
      </c>
      <c r="M19" s="309">
        <f t="shared" si="8"/>
        <v>2.611951293273429E-2</v>
      </c>
      <c r="O19" s="280" t="s">
        <v>214</v>
      </c>
      <c r="P19" s="281">
        <f>R12</f>
        <v>4.8471585040667913</v>
      </c>
      <c r="R19" s="326"/>
      <c r="U19" s="298">
        <v>59.21</v>
      </c>
      <c r="V19" s="295">
        <f t="shared" si="3"/>
        <v>0</v>
      </c>
      <c r="X19" s="1">
        <v>24609918</v>
      </c>
      <c r="Z19" s="1">
        <f t="shared" si="4"/>
        <v>0</v>
      </c>
    </row>
    <row r="20" spans="1:26" x14ac:dyDescent="0.3">
      <c r="A20" s="241">
        <v>2026</v>
      </c>
      <c r="C20" s="299">
        <v>57.37</v>
      </c>
      <c r="D20" s="300">
        <f t="shared" si="1"/>
        <v>4.7088884832998668E-2</v>
      </c>
      <c r="F20" s="299">
        <v>7.499274053189219</v>
      </c>
      <c r="G20" s="300">
        <f t="shared" si="2"/>
        <v>3.5325554498212064E-2</v>
      </c>
      <c r="H20" s="268">
        <f t="shared" si="5"/>
        <v>-1.1763330334786604E-2</v>
      </c>
      <c r="I20" s="304">
        <v>60.9</v>
      </c>
      <c r="J20" s="303">
        <f t="shared" si="6"/>
        <v>9.1103182960510143</v>
      </c>
      <c r="K20" s="303">
        <f t="shared" si="7"/>
        <v>20.220340091708131</v>
      </c>
      <c r="L20" s="275">
        <f t="shared" si="0"/>
        <v>90.230658387759149</v>
      </c>
      <c r="M20" s="309">
        <f t="shared" si="8"/>
        <v>3.3327577180937595E-2</v>
      </c>
      <c r="O20" s="265" t="s">
        <v>200</v>
      </c>
      <c r="P20" s="264">
        <f>SUM(P17:P19)</f>
        <v>60.735506553268003</v>
      </c>
      <c r="Q20" s="257">
        <f>P20-P16</f>
        <v>0</v>
      </c>
      <c r="R20" s="326"/>
      <c r="U20" s="298">
        <v>60.9</v>
      </c>
      <c r="V20" s="295">
        <f t="shared" si="3"/>
        <v>0</v>
      </c>
      <c r="X20" s="1">
        <v>24977480</v>
      </c>
      <c r="Z20" s="1">
        <f t="shared" si="4"/>
        <v>0</v>
      </c>
    </row>
    <row r="21" spans="1:26" x14ac:dyDescent="0.3">
      <c r="A21" s="241">
        <v>2027</v>
      </c>
      <c r="C21" s="299">
        <v>59.1</v>
      </c>
      <c r="D21" s="300">
        <f t="shared" si="1"/>
        <v>3.0155133344953899E-2</v>
      </c>
      <c r="F21" s="299">
        <v>7.6385603453339215</v>
      </c>
      <c r="G21" s="300">
        <f t="shared" si="2"/>
        <v>1.8573303383341289E-2</v>
      </c>
      <c r="H21" s="268">
        <f t="shared" si="5"/>
        <v>-1.1581829961612611E-2</v>
      </c>
      <c r="I21" s="304">
        <v>63.26</v>
      </c>
      <c r="J21" s="303">
        <f t="shared" si="6"/>
        <v>9.279527001682375</v>
      </c>
      <c r="K21" s="303">
        <f t="shared" si="7"/>
        <v>20.830087143453905</v>
      </c>
      <c r="L21" s="275">
        <f t="shared" si="0"/>
        <v>93.369614145136282</v>
      </c>
      <c r="M21" s="309">
        <f t="shared" si="8"/>
        <v>3.4788128707736066E-2</v>
      </c>
      <c r="P21" s="257">
        <f>P20-R14</f>
        <v>0</v>
      </c>
      <c r="R21" s="326"/>
      <c r="U21" s="298">
        <v>63.26</v>
      </c>
      <c r="V21" s="295">
        <f t="shared" si="3"/>
        <v>0</v>
      </c>
      <c r="X21" s="1">
        <v>25342548</v>
      </c>
      <c r="Z21" s="1">
        <f t="shared" si="4"/>
        <v>0</v>
      </c>
    </row>
    <row r="22" spans="1:26" ht="15" thickBot="1" x14ac:dyDescent="0.35">
      <c r="A22" s="241">
        <v>2028</v>
      </c>
      <c r="C22" s="299">
        <v>61.06</v>
      </c>
      <c r="D22" s="300">
        <f t="shared" si="1"/>
        <v>3.3164128595600584E-2</v>
      </c>
      <c r="F22" s="299">
        <v>7.8941333306283532</v>
      </c>
      <c r="G22" s="300">
        <f t="shared" si="2"/>
        <v>3.3458266183699292E-2</v>
      </c>
      <c r="H22" s="268">
        <f t="shared" si="5"/>
        <v>2.9413758809870849E-4</v>
      </c>
      <c r="I22" s="304">
        <v>62.49</v>
      </c>
      <c r="J22" s="303">
        <f t="shared" si="6"/>
        <v>9.5900038861634886</v>
      </c>
      <c r="K22" s="303">
        <f t="shared" si="7"/>
        <v>21.520898832136979</v>
      </c>
      <c r="L22" s="275">
        <f t="shared" si="0"/>
        <v>93.600902718300475</v>
      </c>
      <c r="M22" s="309">
        <f t="shared" si="8"/>
        <v>2.4771289383789252E-3</v>
      </c>
      <c r="R22" s="327"/>
      <c r="U22" s="298">
        <v>62.49</v>
      </c>
      <c r="V22" s="295">
        <f t="shared" si="3"/>
        <v>0</v>
      </c>
      <c r="X22" s="1">
        <v>25848732</v>
      </c>
      <c r="Z22" s="1">
        <f t="shared" si="4"/>
        <v>0</v>
      </c>
    </row>
    <row r="23" spans="1:26" ht="15" x14ac:dyDescent="0.25">
      <c r="A23" s="241">
        <v>2029</v>
      </c>
      <c r="C23" s="299">
        <v>62.59</v>
      </c>
      <c r="D23" s="300">
        <f t="shared" si="1"/>
        <v>2.5057320668195215E-2</v>
      </c>
      <c r="F23" s="299">
        <v>8.2021164791791872</v>
      </c>
      <c r="G23" s="300">
        <f t="shared" si="2"/>
        <v>3.9014181247217339E-2</v>
      </c>
      <c r="H23" s="268">
        <f t="shared" si="5"/>
        <v>1.3956860579022123E-2</v>
      </c>
      <c r="I23" s="304">
        <v>63.1</v>
      </c>
      <c r="J23" s="303">
        <f t="shared" si="6"/>
        <v>9.9641500359397899</v>
      </c>
      <c r="K23" s="303">
        <f t="shared" si="7"/>
        <v>22.060154895241624</v>
      </c>
      <c r="L23" s="275">
        <f t="shared" si="0"/>
        <v>95.124304931181413</v>
      </c>
      <c r="M23" s="309">
        <f t="shared" si="8"/>
        <v>1.6275507699597069E-2</v>
      </c>
      <c r="O23" s="266" t="s">
        <v>201</v>
      </c>
      <c r="U23" s="298">
        <v>63.1</v>
      </c>
      <c r="V23" s="295">
        <f t="shared" si="3"/>
        <v>0</v>
      </c>
      <c r="X23" s="1">
        <v>26187306</v>
      </c>
      <c r="Z23" s="1">
        <f t="shared" si="4"/>
        <v>0</v>
      </c>
    </row>
    <row r="24" spans="1:26" ht="15" x14ac:dyDescent="0.25">
      <c r="A24" s="241">
        <v>2030</v>
      </c>
      <c r="C24" s="299">
        <v>64.31</v>
      </c>
      <c r="D24" s="300">
        <f t="shared" si="1"/>
        <v>2.7480428183415784E-2</v>
      </c>
      <c r="F24" s="299">
        <v>8.4377510039595194</v>
      </c>
      <c r="G24" s="300">
        <f t="shared" si="2"/>
        <v>2.8728502622278329E-2</v>
      </c>
      <c r="H24" s="268">
        <f t="shared" si="5"/>
        <v>1.2480744388625453E-3</v>
      </c>
      <c r="I24" s="304">
        <v>65.569999999999993</v>
      </c>
      <c r="J24" s="303">
        <f t="shared" si="6"/>
        <v>10.25040514637606</v>
      </c>
      <c r="K24" s="303">
        <f t="shared" si="7"/>
        <v>22.66637739755534</v>
      </c>
      <c r="L24" s="275">
        <f t="shared" si="0"/>
        <v>98.486782543931398</v>
      </c>
      <c r="M24" s="309">
        <f t="shared" si="8"/>
        <v>3.5348248958902762E-2</v>
      </c>
      <c r="O24" s="266" t="s">
        <v>202</v>
      </c>
      <c r="U24" s="298">
        <v>65.569999999999993</v>
      </c>
      <c r="V24" s="295">
        <f t="shared" si="3"/>
        <v>0</v>
      </c>
      <c r="X24" s="1">
        <v>26644562</v>
      </c>
      <c r="Z24" s="1">
        <f t="shared" si="4"/>
        <v>0</v>
      </c>
    </row>
    <row r="25" spans="1:26" ht="15" x14ac:dyDescent="0.25">
      <c r="A25" s="241">
        <v>2031</v>
      </c>
      <c r="C25" s="299">
        <v>66.930000000000007</v>
      </c>
      <c r="D25" s="300">
        <f t="shared" si="1"/>
        <v>4.0740164826621017E-2</v>
      </c>
      <c r="F25" s="299">
        <v>8.8420239581522608</v>
      </c>
      <c r="G25" s="300">
        <f t="shared" si="2"/>
        <v>4.7912406280184339E-2</v>
      </c>
      <c r="H25" s="268">
        <f t="shared" si="5"/>
        <v>7.1722414535633217E-3</v>
      </c>
      <c r="I25" s="304">
        <v>64.87</v>
      </c>
      <c r="J25" s="303">
        <f t="shared" si="6"/>
        <v>10.741526722285723</v>
      </c>
      <c r="K25" s="303">
        <f t="shared" si="7"/>
        <v>23.589809348754141</v>
      </c>
      <c r="L25" s="275">
        <f t="shared" si="0"/>
        <v>99.201336071039876</v>
      </c>
      <c r="M25" s="309">
        <f t="shared" si="8"/>
        <v>7.2553241018888937E-3</v>
      </c>
      <c r="O25" s="266" t="s">
        <v>203</v>
      </c>
      <c r="U25" s="298">
        <v>64.87</v>
      </c>
      <c r="V25" s="295">
        <f t="shared" si="3"/>
        <v>0</v>
      </c>
      <c r="X25" s="1">
        <v>27102758</v>
      </c>
      <c r="Z25" s="1">
        <f t="shared" si="4"/>
        <v>0</v>
      </c>
    </row>
    <row r="26" spans="1:26" ht="15" x14ac:dyDescent="0.25">
      <c r="A26" s="241">
        <v>2032</v>
      </c>
      <c r="C26" s="299">
        <v>68.319999999999993</v>
      </c>
      <c r="D26" s="300">
        <f t="shared" si="1"/>
        <v>2.076796653219759E-2</v>
      </c>
      <c r="F26" s="299">
        <v>9.0630745571060647</v>
      </c>
      <c r="G26" s="300">
        <f t="shared" si="2"/>
        <v>2.4999999999999689E-2</v>
      </c>
      <c r="H26" s="268">
        <f t="shared" si="5"/>
        <v>4.2320334678020988E-3</v>
      </c>
      <c r="I26" s="304">
        <v>65.44</v>
      </c>
      <c r="J26" s="303">
        <f t="shared" si="6"/>
        <v>11.010064890342862</v>
      </c>
      <c r="K26" s="303">
        <f t="shared" si="7"/>
        <v>24.079721719809989</v>
      </c>
      <c r="L26" s="275">
        <f t="shared" si="0"/>
        <v>100.52978661015285</v>
      </c>
      <c r="M26" s="309">
        <f t="shared" si="8"/>
        <v>1.3391458136830403E-2</v>
      </c>
      <c r="U26" s="298">
        <v>65.44</v>
      </c>
      <c r="V26" s="295">
        <f t="shared" si="3"/>
        <v>0</v>
      </c>
      <c r="X26" s="1">
        <v>27572440</v>
      </c>
      <c r="Z26" s="1">
        <f t="shared" si="4"/>
        <v>0</v>
      </c>
    </row>
    <row r="27" spans="1:26" ht="15" x14ac:dyDescent="0.25">
      <c r="A27" s="241">
        <v>2033</v>
      </c>
      <c r="C27" s="299">
        <v>70.599999999999994</v>
      </c>
      <c r="D27" s="300">
        <f t="shared" si="1"/>
        <v>3.3372365339578547E-2</v>
      </c>
      <c r="F27" s="299">
        <v>9.2896514210337191</v>
      </c>
      <c r="G27" s="300">
        <f t="shared" si="2"/>
        <v>2.5000000000000355E-2</v>
      </c>
      <c r="H27" s="268">
        <f t="shared" si="5"/>
        <v>-8.3723653395781916E-3</v>
      </c>
      <c r="I27" s="304">
        <v>65.989999999999995</v>
      </c>
      <c r="J27" s="303">
        <f t="shared" si="6"/>
        <v>11.285316512601439</v>
      </c>
      <c r="K27" s="303">
        <f t="shared" si="7"/>
        <v>24.883318990318873</v>
      </c>
      <c r="L27" s="275">
        <f t="shared" si="0"/>
        <v>102.1586355029203</v>
      </c>
      <c r="M27" s="309">
        <f t="shared" si="8"/>
        <v>1.6202649460343554E-2</v>
      </c>
      <c r="U27" s="298">
        <v>65.989999999999995</v>
      </c>
      <c r="V27" s="295">
        <f t="shared" si="3"/>
        <v>0</v>
      </c>
      <c r="X27" s="1">
        <v>28066212</v>
      </c>
      <c r="Z27" s="1">
        <f t="shared" si="4"/>
        <v>0</v>
      </c>
    </row>
    <row r="28" spans="1:26" ht="15" x14ac:dyDescent="0.25">
      <c r="A28" t="s">
        <v>204</v>
      </c>
      <c r="C28" s="301">
        <f t="shared" ref="C28" si="9">-PMT($B$2,20,NPV($B$2,C8:C27))</f>
        <v>51.468499999999992</v>
      </c>
      <c r="D28" s="302"/>
      <c r="F28" s="301">
        <f t="shared" ref="F28" si="10">-PMT($B$2,20,NPV($B$2,F8:F27))</f>
        <v>6.7615304859683274</v>
      </c>
      <c r="G28" s="302"/>
      <c r="I28" s="276"/>
    </row>
    <row r="29" spans="1:26" ht="15" x14ac:dyDescent="0.25">
      <c r="A29" t="s">
        <v>205</v>
      </c>
      <c r="C29" s="267">
        <f>(C27/C8)^(1/19)-1</f>
        <v>4.274985666395259E-2</v>
      </c>
      <c r="D29" s="268">
        <f>AVERAGE(D9:D27)</f>
        <v>4.3593453379222422E-2</v>
      </c>
      <c r="F29" s="267">
        <f>(F27/F8)^(1/19)-1</f>
        <v>4.5483505519835266E-2</v>
      </c>
      <c r="G29" s="268">
        <f>AVERAGE(G9:G27)</f>
        <v>4.6018733360693093E-2</v>
      </c>
      <c r="I29" s="276"/>
    </row>
    <row r="30" spans="1:26" x14ac:dyDescent="0.3">
      <c r="I30" s="305" t="s">
        <v>225</v>
      </c>
      <c r="K30" s="328" t="s">
        <v>241</v>
      </c>
      <c r="L30" s="328"/>
      <c r="M30" s="328"/>
      <c r="N30" s="328"/>
      <c r="O30" s="328"/>
      <c r="U30" s="216" t="s">
        <v>225</v>
      </c>
    </row>
    <row r="31" spans="1:26" x14ac:dyDescent="0.3">
      <c r="I31" s="305" t="s">
        <v>226</v>
      </c>
      <c r="K31" s="328"/>
      <c r="L31" s="328"/>
      <c r="M31" s="328"/>
      <c r="N31" s="328"/>
      <c r="O31" s="328"/>
      <c r="U31" s="216" t="s">
        <v>226</v>
      </c>
    </row>
    <row r="32" spans="1:26" x14ac:dyDescent="0.3">
      <c r="I32" s="305" t="s">
        <v>229</v>
      </c>
      <c r="K32" s="328"/>
      <c r="L32" s="328"/>
      <c r="M32" s="328"/>
      <c r="N32" s="328"/>
      <c r="O32" s="328"/>
      <c r="U32" s="216" t="s">
        <v>229</v>
      </c>
    </row>
    <row r="33" spans="9:21" x14ac:dyDescent="0.3">
      <c r="I33" s="305" t="s">
        <v>227</v>
      </c>
      <c r="K33" s="328"/>
      <c r="L33" s="328"/>
      <c r="M33" s="328"/>
      <c r="N33" s="328"/>
      <c r="O33" s="328"/>
      <c r="U33" s="216" t="s">
        <v>227</v>
      </c>
    </row>
    <row r="34" spans="9:21" ht="15" x14ac:dyDescent="0.25">
      <c r="I34" s="305" t="s">
        <v>228</v>
      </c>
      <c r="U34" s="216" t="s">
        <v>230</v>
      </c>
    </row>
    <row r="35" spans="9:21" ht="15" x14ac:dyDescent="0.25">
      <c r="I35" s="305" t="s">
        <v>163</v>
      </c>
      <c r="U35" s="216" t="s">
        <v>163</v>
      </c>
    </row>
    <row r="36" spans="9:21" x14ac:dyDescent="0.3">
      <c r="U36" s="216" t="s">
        <v>164</v>
      </c>
    </row>
  </sheetData>
  <mergeCells count="2">
    <mergeCell ref="R18:R22"/>
    <mergeCell ref="K30:O33"/>
  </mergeCells>
  <pageMargins left="0.7" right="0.7" top="0.75" bottom="0.75" header="0.3" footer="0.3"/>
  <pageSetup scale="71" orientation="landscape" r:id="rId1"/>
  <headerFooter>
    <oddHeader>&amp;R&amp;"-,Bold"Preliminary and Draft
Privileged and Confidential Attorney-Client Work Product</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2:W63"/>
  <sheetViews>
    <sheetView topLeftCell="A14" workbookViewId="0">
      <selection activeCell="E44" sqref="E44"/>
    </sheetView>
  </sheetViews>
  <sheetFormatPr defaultRowHeight="14.4" x14ac:dyDescent="0.3"/>
  <cols>
    <col min="1" max="1" width="62.109375" customWidth="1"/>
    <col min="2" max="2" width="18.44140625" bestFit="1" customWidth="1"/>
    <col min="3" max="7" width="11.5546875" bestFit="1" customWidth="1"/>
    <col min="8" max="22" width="13.33203125" bestFit="1" customWidth="1"/>
    <col min="23" max="23" width="11.6640625" customWidth="1"/>
  </cols>
  <sheetData>
    <row r="2" spans="1:23" ht="15" x14ac:dyDescent="0.25">
      <c r="A2" s="168" t="s">
        <v>135</v>
      </c>
    </row>
    <row r="3" spans="1:23" ht="15" x14ac:dyDescent="0.25">
      <c r="A3" s="168" t="s">
        <v>141</v>
      </c>
      <c r="C3" s="166">
        <v>41640</v>
      </c>
      <c r="D3" s="166">
        <v>41820</v>
      </c>
      <c r="E3" s="166">
        <v>42185</v>
      </c>
      <c r="F3" s="166">
        <v>42551</v>
      </c>
      <c r="G3" s="166">
        <v>42916</v>
      </c>
      <c r="H3" s="166">
        <v>43281</v>
      </c>
      <c r="I3" s="166">
        <v>43646</v>
      </c>
      <c r="J3" s="166">
        <v>44012</v>
      </c>
      <c r="K3" s="166">
        <v>44377</v>
      </c>
      <c r="L3" s="166">
        <v>44742</v>
      </c>
      <c r="M3" s="166">
        <v>45107</v>
      </c>
      <c r="N3" s="166">
        <v>45473</v>
      </c>
      <c r="O3" s="166">
        <v>45838</v>
      </c>
      <c r="P3" s="166">
        <v>46203</v>
      </c>
      <c r="Q3" s="166">
        <v>46568</v>
      </c>
      <c r="R3" s="166">
        <v>46934</v>
      </c>
      <c r="S3" s="166">
        <v>47299</v>
      </c>
      <c r="T3" s="166">
        <v>47664</v>
      </c>
      <c r="U3" s="166">
        <v>48029</v>
      </c>
      <c r="V3" s="166">
        <v>48395</v>
      </c>
      <c r="W3" s="166">
        <v>48760</v>
      </c>
    </row>
    <row r="4" spans="1:23" ht="15" x14ac:dyDescent="0.25">
      <c r="B4" t="s">
        <v>104</v>
      </c>
      <c r="D4">
        <v>2014</v>
      </c>
      <c r="E4">
        <v>2015</v>
      </c>
      <c r="F4">
        <v>2016</v>
      </c>
      <c r="G4">
        <v>2017</v>
      </c>
      <c r="H4">
        <v>2018</v>
      </c>
      <c r="I4">
        <v>2019</v>
      </c>
      <c r="J4">
        <v>2020</v>
      </c>
      <c r="K4">
        <v>2021</v>
      </c>
      <c r="L4">
        <v>2022</v>
      </c>
      <c r="M4">
        <v>2023</v>
      </c>
      <c r="N4">
        <v>2024</v>
      </c>
      <c r="O4">
        <v>2025</v>
      </c>
      <c r="P4">
        <v>2026</v>
      </c>
      <c r="Q4">
        <v>2027</v>
      </c>
      <c r="R4">
        <v>2028</v>
      </c>
      <c r="S4">
        <v>2029</v>
      </c>
      <c r="T4">
        <v>2030</v>
      </c>
      <c r="U4">
        <v>2031</v>
      </c>
      <c r="V4">
        <v>2032</v>
      </c>
      <c r="W4">
        <v>2033</v>
      </c>
    </row>
    <row r="5" spans="1:23" ht="15" x14ac:dyDescent="0.25">
      <c r="A5" t="s">
        <v>99</v>
      </c>
      <c r="B5" s="2">
        <f>XNPV(0.078,C5:W5,C$3:W$3)</f>
        <v>9036146.4795869756</v>
      </c>
      <c r="C5" s="167">
        <v>0</v>
      </c>
      <c r="D5" s="163">
        <f>'Base Data'!D24</f>
        <v>499016.21278530551</v>
      </c>
      <c r="E5" s="163">
        <f>'Base Data'!E24</f>
        <v>480451.37147991022</v>
      </c>
      <c r="F5" s="163">
        <f>'Base Data'!F24</f>
        <v>482280.9355936838</v>
      </c>
      <c r="G5" s="163">
        <f>'Base Data'!G24</f>
        <v>504121.10597047117</v>
      </c>
      <c r="H5" s="163">
        <f>'Base Data'!H24</f>
        <v>566399.55241298978</v>
      </c>
      <c r="I5" s="163">
        <f>'Base Data'!I24</f>
        <v>607479.5424332181</v>
      </c>
      <c r="J5" s="163">
        <f>'Base Data'!J24</f>
        <v>621384.87851813482</v>
      </c>
      <c r="K5" s="163">
        <f>'Base Data'!K24</f>
        <v>686072.55792215071</v>
      </c>
      <c r="L5" s="163">
        <f>'Base Data'!L24</f>
        <v>808453.97487105464</v>
      </c>
      <c r="M5" s="163">
        <f>'Base Data'!M24</f>
        <v>872641.42617472587</v>
      </c>
      <c r="N5" s="163">
        <f>'Base Data'!N24</f>
        <v>950571.74093786592</v>
      </c>
      <c r="O5" s="163">
        <f>'Base Data'!O24</f>
        <v>1030479.8024939192</v>
      </c>
      <c r="P5" s="163">
        <f>'Base Data'!P24</f>
        <v>1365456.2939300321</v>
      </c>
      <c r="Q5" s="163">
        <f>'Base Data'!Q24</f>
        <v>1439298.3649081727</v>
      </c>
      <c r="R5" s="163">
        <f>'Base Data'!R24</f>
        <v>1556777.3636845474</v>
      </c>
      <c r="S5" s="163">
        <f>'Base Data'!S24</f>
        <v>1590947.5186301477</v>
      </c>
      <c r="T5" s="163">
        <f>'Base Data'!T24</f>
        <v>1742507.6342384988</v>
      </c>
      <c r="U5" s="163">
        <f>'Base Data'!U24</f>
        <v>1885187.2624323135</v>
      </c>
      <c r="V5" s="163">
        <f>'Base Data'!V24</f>
        <v>1920708.0057208205</v>
      </c>
      <c r="W5" s="163">
        <f>'Base Data'!W24</f>
        <v>2050222.0911429389</v>
      </c>
    </row>
    <row r="6" spans="1:23" ht="15" x14ac:dyDescent="0.25">
      <c r="A6" t="s">
        <v>100</v>
      </c>
      <c r="B6" s="2">
        <f t="shared" ref="B6:B7" si="0">XNPV(0.078,C6:W6,C$3:W$3)</f>
        <v>9399151.3023238983</v>
      </c>
      <c r="C6" s="167">
        <v>0</v>
      </c>
      <c r="D6" s="163">
        <f>'Base with Jefferson County'!D24</f>
        <v>508614.31482761551</v>
      </c>
      <c r="E6" s="163">
        <f>'Base with Jefferson County'!E24</f>
        <v>490660.60690225469</v>
      </c>
      <c r="F6" s="163">
        <f>'Base with Jefferson County'!F24</f>
        <v>493187.64577691111</v>
      </c>
      <c r="G6" s="163">
        <f>'Base with Jefferson County'!G24</f>
        <v>516691.41749508405</v>
      </c>
      <c r="H6" s="163">
        <f>'Base with Jefferson County'!H24</f>
        <v>623066.48366406176</v>
      </c>
      <c r="I6" s="163">
        <f>'Base with Jefferson County'!I24</f>
        <v>665088.35633861029</v>
      </c>
      <c r="J6" s="163">
        <f>'Base with Jefferson County'!J24</f>
        <v>678690.73145190906</v>
      </c>
      <c r="K6" s="163">
        <f>'Base with Jefferson County'!K24</f>
        <v>698862.33807532699</v>
      </c>
      <c r="L6" s="163">
        <f>'Base with Jefferson County'!L24</f>
        <v>867721.18460152275</v>
      </c>
      <c r="M6" s="163">
        <f>'Base with Jefferson County'!M24</f>
        <v>932313.53691137093</v>
      </c>
      <c r="N6" s="163">
        <f>'Base with Jefferson County'!N24</f>
        <v>961399.36797656026</v>
      </c>
      <c r="O6" s="163">
        <f>'Base with Jefferson County'!O24</f>
        <v>1092643.3226616185</v>
      </c>
      <c r="P6" s="163">
        <f>'Base with Jefferson County'!P24</f>
        <v>1377278.1554963561</v>
      </c>
      <c r="Q6" s="163">
        <f>'Base with Jefferson County'!Q24</f>
        <v>1504547.5502141349</v>
      </c>
      <c r="R6" s="163">
        <f>'Base with Jefferson County'!R24</f>
        <v>1569418.4909172601</v>
      </c>
      <c r="S6" s="163">
        <f>'Base with Jefferson County'!S24</f>
        <v>1659933.6978159691</v>
      </c>
      <c r="T6" s="163">
        <f>'Base with Jefferson County'!T24</f>
        <v>1812113.4160977167</v>
      </c>
      <c r="U6" s="163">
        <f>'Base with Jefferson County'!U24</f>
        <v>1897453.0651429603</v>
      </c>
      <c r="V6" s="163">
        <f>'Base with Jefferson County'!V24</f>
        <v>1994502.3325659712</v>
      </c>
      <c r="W6" s="163">
        <f>'Base with Jefferson County'!W24</f>
        <v>2125287.1187494332</v>
      </c>
    </row>
    <row r="7" spans="1:23" ht="15" x14ac:dyDescent="0.25">
      <c r="A7" s="170" t="s">
        <v>150</v>
      </c>
      <c r="B7" s="171">
        <f t="shared" si="0"/>
        <v>363004.82273692428</v>
      </c>
      <c r="C7" s="167">
        <v>0</v>
      </c>
      <c r="D7" s="163">
        <f>D6-D5</f>
        <v>9598.1020423099981</v>
      </c>
      <c r="E7" s="163">
        <f t="shared" ref="E7:W7" si="1">E6-E5</f>
        <v>10209.235422344471</v>
      </c>
      <c r="F7" s="163">
        <f t="shared" si="1"/>
        <v>10906.710183227318</v>
      </c>
      <c r="G7" s="163">
        <f t="shared" si="1"/>
        <v>12570.311524612887</v>
      </c>
      <c r="H7" s="163">
        <f t="shared" si="1"/>
        <v>56666.931251071976</v>
      </c>
      <c r="I7" s="163">
        <f t="shared" si="1"/>
        <v>57608.813905392191</v>
      </c>
      <c r="J7" s="163">
        <f t="shared" si="1"/>
        <v>57305.852933774237</v>
      </c>
      <c r="K7" s="163">
        <f t="shared" si="1"/>
        <v>12789.780153176282</v>
      </c>
      <c r="L7" s="163">
        <f t="shared" si="1"/>
        <v>59267.209730468108</v>
      </c>
      <c r="M7" s="163">
        <f t="shared" si="1"/>
        <v>59672.11073664506</v>
      </c>
      <c r="N7" s="163">
        <f t="shared" si="1"/>
        <v>10827.627038694336</v>
      </c>
      <c r="O7" s="163">
        <f t="shared" si="1"/>
        <v>62163.520167699317</v>
      </c>
      <c r="P7" s="163">
        <f t="shared" si="1"/>
        <v>11821.86156632402</v>
      </c>
      <c r="Q7" s="163">
        <f t="shared" si="1"/>
        <v>65249.185305962106</v>
      </c>
      <c r="R7" s="163">
        <f t="shared" si="1"/>
        <v>12641.127232712694</v>
      </c>
      <c r="S7" s="163">
        <f t="shared" si="1"/>
        <v>68986.179185821442</v>
      </c>
      <c r="T7" s="163">
        <f t="shared" si="1"/>
        <v>69605.78185921791</v>
      </c>
      <c r="U7" s="163">
        <f t="shared" si="1"/>
        <v>12265.802710646763</v>
      </c>
      <c r="V7" s="163">
        <f t="shared" si="1"/>
        <v>73794.326845150674</v>
      </c>
      <c r="W7" s="163">
        <f t="shared" si="1"/>
        <v>75065.027606494259</v>
      </c>
    </row>
    <row r="8" spans="1:23" ht="15" x14ac:dyDescent="0.25">
      <c r="A8" s="170" t="s">
        <v>106</v>
      </c>
      <c r="B8" s="171">
        <f>-PMT(0.078,20,B7)</f>
        <v>36424.281315341657</v>
      </c>
    </row>
    <row r="9" spans="1:23" ht="15" x14ac:dyDescent="0.25">
      <c r="A9" s="192"/>
      <c r="B9" s="193"/>
    </row>
    <row r="10" spans="1:23" ht="15" x14ac:dyDescent="0.25">
      <c r="A10" s="168" t="s">
        <v>144</v>
      </c>
    </row>
    <row r="11" spans="1:23" ht="15" x14ac:dyDescent="0.25">
      <c r="A11" t="s">
        <v>99</v>
      </c>
      <c r="D11" s="1">
        <v>22925682</v>
      </c>
      <c r="E11" s="1">
        <v>23104628</v>
      </c>
      <c r="F11" s="1">
        <v>23363986</v>
      </c>
      <c r="G11" s="1">
        <v>23417822</v>
      </c>
      <c r="H11" s="1">
        <v>23481456</v>
      </c>
      <c r="I11" s="1">
        <v>23513208</v>
      </c>
      <c r="J11" s="1">
        <v>23595474</v>
      </c>
      <c r="K11" s="1">
        <v>23501476</v>
      </c>
      <c r="L11" s="1">
        <v>23645232</v>
      </c>
      <c r="M11" s="1">
        <v>23928782</v>
      </c>
      <c r="N11" s="1">
        <v>24337296</v>
      </c>
      <c r="O11" s="1">
        <v>24609918</v>
      </c>
      <c r="P11" s="1">
        <v>24977480</v>
      </c>
      <c r="Q11" s="1">
        <v>25342548</v>
      </c>
      <c r="R11" s="1">
        <v>25848732</v>
      </c>
      <c r="S11" s="1">
        <v>26187306</v>
      </c>
      <c r="T11" s="1">
        <v>26644562</v>
      </c>
      <c r="U11" s="1">
        <v>27102758</v>
      </c>
      <c r="V11" s="1">
        <v>27572440</v>
      </c>
      <c r="W11" s="1">
        <v>28066212</v>
      </c>
    </row>
    <row r="12" spans="1:23" ht="15" x14ac:dyDescent="0.25">
      <c r="A12" t="s">
        <v>107</v>
      </c>
      <c r="D12" s="1">
        <v>23248863.396698609</v>
      </c>
      <c r="E12" s="1">
        <v>23431914.521691345</v>
      </c>
      <c r="F12" s="1">
        <v>23697854.773809966</v>
      </c>
      <c r="G12" s="1">
        <v>23756381.404229734</v>
      </c>
      <c r="H12" s="1">
        <v>23824682.709329594</v>
      </c>
      <c r="I12" s="1">
        <v>23859944.057607338</v>
      </c>
      <c r="J12" s="1">
        <v>23945662.774072316</v>
      </c>
      <c r="K12" s="1">
        <v>23851154.298326656</v>
      </c>
      <c r="L12" s="1">
        <v>23997380.847984437</v>
      </c>
      <c r="M12" s="1">
        <v>24283647.017752815</v>
      </c>
      <c r="N12" s="1">
        <v>24697894.471927568</v>
      </c>
      <c r="O12" s="1">
        <v>24976492.702386726</v>
      </c>
      <c r="P12" s="1">
        <v>25351799.237718463</v>
      </c>
      <c r="Q12" s="1">
        <v>25724660.463364944</v>
      </c>
      <c r="R12" s="1">
        <v>26239967.283264481</v>
      </c>
      <c r="S12" s="1">
        <v>26584605.893128991</v>
      </c>
      <c r="T12" s="1">
        <v>27049750.78617014</v>
      </c>
      <c r="U12" s="1">
        <v>27516599.316692136</v>
      </c>
      <c r="V12" s="1">
        <v>27995119.027967829</v>
      </c>
      <c r="W12" s="1">
        <v>28497917.892071903</v>
      </c>
    </row>
    <row r="13" spans="1:23" ht="15" x14ac:dyDescent="0.25">
      <c r="A13" t="s">
        <v>147</v>
      </c>
      <c r="D13" s="1">
        <f>D12-D11</f>
        <v>323181.39669860899</v>
      </c>
      <c r="E13" s="1">
        <f t="shared" ref="E13:W13" si="2">E12-E11</f>
        <v>327286.52169134468</v>
      </c>
      <c r="F13" s="1">
        <f t="shared" si="2"/>
        <v>333868.7738099657</v>
      </c>
      <c r="G13" s="1">
        <f t="shared" si="2"/>
        <v>338559.40422973409</v>
      </c>
      <c r="H13" s="1">
        <f t="shared" si="2"/>
        <v>343226.70932959393</v>
      </c>
      <c r="I13" s="1">
        <f t="shared" si="2"/>
        <v>346736.05760733783</v>
      </c>
      <c r="J13" s="1">
        <f t="shared" si="2"/>
        <v>350188.77407231554</v>
      </c>
      <c r="K13" s="1">
        <f t="shared" si="2"/>
        <v>349678.29832665622</v>
      </c>
      <c r="L13" s="1">
        <f t="shared" si="2"/>
        <v>352148.8479844369</v>
      </c>
      <c r="M13" s="1">
        <f t="shared" si="2"/>
        <v>354865.01775281504</v>
      </c>
      <c r="N13" s="1">
        <f t="shared" si="2"/>
        <v>360598.47192756832</v>
      </c>
      <c r="O13" s="1">
        <f t="shared" si="2"/>
        <v>366574.70238672569</v>
      </c>
      <c r="P13" s="1">
        <f t="shared" si="2"/>
        <v>374319.23771846294</v>
      </c>
      <c r="Q13" s="1">
        <f t="shared" si="2"/>
        <v>382112.46336494386</v>
      </c>
      <c r="R13" s="1">
        <f t="shared" si="2"/>
        <v>391235.28326448053</v>
      </c>
      <c r="S13" s="1">
        <f t="shared" si="2"/>
        <v>397299.89312899113</v>
      </c>
      <c r="T13" s="1">
        <f t="shared" si="2"/>
        <v>405188.78617013991</v>
      </c>
      <c r="U13" s="1">
        <f t="shared" si="2"/>
        <v>413841.31669213623</v>
      </c>
      <c r="V13" s="1">
        <f t="shared" si="2"/>
        <v>422679.02796782926</v>
      </c>
      <c r="W13" s="1">
        <f t="shared" si="2"/>
        <v>431705.89207190275</v>
      </c>
    </row>
    <row r="14" spans="1:23" ht="15" x14ac:dyDescent="0.25">
      <c r="D14" s="1"/>
      <c r="E14" s="218">
        <f>E13/D13-1</f>
        <v>1.270223173323326E-2</v>
      </c>
      <c r="F14" s="218">
        <f t="shared" ref="F14:W14" si="3">F13/E13-1</f>
        <v>2.0111589333423829E-2</v>
      </c>
      <c r="G14" s="218">
        <f t="shared" si="3"/>
        <v>1.404932352984356E-2</v>
      </c>
      <c r="H14" s="218">
        <f t="shared" si="3"/>
        <v>1.3785778925499148E-2</v>
      </c>
      <c r="I14" s="218">
        <f t="shared" si="3"/>
        <v>1.0224578048131816E-2</v>
      </c>
      <c r="J14" s="218">
        <f t="shared" si="3"/>
        <v>9.9577658256926327E-3</v>
      </c>
      <c r="K14" s="218">
        <f t="shared" si="3"/>
        <v>-1.4577159048333455E-3</v>
      </c>
      <c r="L14" s="218">
        <f t="shared" si="3"/>
        <v>7.06520727652582E-3</v>
      </c>
      <c r="M14" s="218">
        <f t="shared" si="3"/>
        <v>7.7131297856700698E-3</v>
      </c>
      <c r="N14" s="218">
        <f t="shared" si="3"/>
        <v>1.6156718436380224E-2</v>
      </c>
      <c r="O14" s="218">
        <f t="shared" si="3"/>
        <v>1.6573088696720362E-2</v>
      </c>
      <c r="P14" s="218">
        <f t="shared" si="3"/>
        <v>2.11267588333659E-2</v>
      </c>
      <c r="Q14" s="218">
        <f t="shared" si="3"/>
        <v>2.0819730489893828E-2</v>
      </c>
      <c r="R14" s="218">
        <f t="shared" si="3"/>
        <v>2.3874698614119172E-2</v>
      </c>
      <c r="S14" s="218">
        <f t="shared" si="3"/>
        <v>1.550118336441253E-2</v>
      </c>
      <c r="T14" s="218">
        <f t="shared" si="3"/>
        <v>1.9856267715097298E-2</v>
      </c>
      <c r="U14" s="218">
        <f t="shared" si="3"/>
        <v>2.1354318819581275E-2</v>
      </c>
      <c r="V14" s="218">
        <f t="shared" si="3"/>
        <v>2.1355314027931005E-2</v>
      </c>
      <c r="W14" s="218">
        <f t="shared" si="3"/>
        <v>2.1356309413961716E-2</v>
      </c>
    </row>
    <row r="15" spans="1:23" ht="15" x14ac:dyDescent="0.25">
      <c r="A15" s="168" t="s">
        <v>142</v>
      </c>
    </row>
    <row r="16" spans="1:23" ht="15" x14ac:dyDescent="0.25">
      <c r="A16" t="s">
        <v>99</v>
      </c>
      <c r="C16">
        <v>0</v>
      </c>
      <c r="D16" s="172">
        <f>D5*1000/D11</f>
        <v>21.766689984852164</v>
      </c>
      <c r="E16" s="172">
        <f t="shared" ref="E16:W16" si="4">E5*1000/E11</f>
        <v>20.794594549624872</v>
      </c>
      <c r="F16" s="172">
        <f t="shared" si="4"/>
        <v>20.642065767103428</v>
      </c>
      <c r="G16" s="172">
        <f t="shared" si="4"/>
        <v>21.527241345094822</v>
      </c>
      <c r="H16" s="172">
        <f t="shared" si="4"/>
        <v>24.121142761036186</v>
      </c>
      <c r="I16" s="172">
        <f t="shared" si="4"/>
        <v>25.835672547668448</v>
      </c>
      <c r="J16" s="172">
        <f t="shared" si="4"/>
        <v>26.334918235511388</v>
      </c>
      <c r="K16" s="172">
        <f t="shared" si="4"/>
        <v>29.192743380124327</v>
      </c>
      <c r="L16" s="172">
        <f t="shared" si="4"/>
        <v>34.190993552994307</v>
      </c>
      <c r="M16" s="172">
        <f t="shared" si="4"/>
        <v>36.468275993935919</v>
      </c>
      <c r="N16" s="172">
        <f t="shared" si="4"/>
        <v>39.058231487091497</v>
      </c>
      <c r="O16" s="172">
        <f t="shared" si="4"/>
        <v>41.872541082579758</v>
      </c>
      <c r="P16" s="172">
        <f t="shared" si="4"/>
        <v>54.667496237812301</v>
      </c>
      <c r="Q16" s="172">
        <f t="shared" si="4"/>
        <v>56.793751161413319</v>
      </c>
      <c r="R16" s="172">
        <f t="shared" si="4"/>
        <v>60.226449935128244</v>
      </c>
      <c r="S16" s="172">
        <f t="shared" si="4"/>
        <v>60.752622611510617</v>
      </c>
      <c r="T16" s="172">
        <f t="shared" si="4"/>
        <v>65.398246525444804</v>
      </c>
      <c r="U16" s="172">
        <f t="shared" si="4"/>
        <v>69.55702672149873</v>
      </c>
      <c r="V16" s="172">
        <f t="shared" si="4"/>
        <v>69.660429244594255</v>
      </c>
      <c r="W16" s="172">
        <f t="shared" si="4"/>
        <v>73.049476400411237</v>
      </c>
    </row>
    <row r="17" spans="1:23" ht="15" x14ac:dyDescent="0.25">
      <c r="A17" t="s">
        <v>107</v>
      </c>
      <c r="C17">
        <v>0</v>
      </c>
      <c r="D17" s="172">
        <f>D6*1000/D12</f>
        <v>21.876953989064251</v>
      </c>
      <c r="E17" s="172">
        <f t="shared" ref="E17:W17" si="5">E6*1000/E12</f>
        <v>20.939842813443235</v>
      </c>
      <c r="F17" s="172">
        <f t="shared" si="5"/>
        <v>20.811489077144856</v>
      </c>
      <c r="G17" s="172">
        <f t="shared" si="5"/>
        <v>21.749584193958473</v>
      </c>
      <c r="H17" s="172">
        <f t="shared" si="5"/>
        <v>26.152141930522873</v>
      </c>
      <c r="I17" s="172">
        <f t="shared" si="5"/>
        <v>27.874682133907108</v>
      </c>
      <c r="J17" s="172">
        <f t="shared" si="5"/>
        <v>28.342950364555211</v>
      </c>
      <c r="K17" s="172">
        <f t="shared" si="5"/>
        <v>29.300985995648759</v>
      </c>
      <c r="L17" s="172">
        <f t="shared" si="5"/>
        <v>36.15899543780435</v>
      </c>
      <c r="M17" s="172">
        <f t="shared" si="5"/>
        <v>38.392649021367887</v>
      </c>
      <c r="N17" s="172">
        <f t="shared" si="5"/>
        <v>38.926369576536899</v>
      </c>
      <c r="O17" s="172">
        <f t="shared" si="5"/>
        <v>43.746867732041764</v>
      </c>
      <c r="P17" s="172">
        <f t="shared" si="5"/>
        <v>54.326643351105375</v>
      </c>
      <c r="Q17" s="172">
        <f t="shared" si="5"/>
        <v>58.486585366473321</v>
      </c>
      <c r="R17" s="172">
        <f t="shared" si="5"/>
        <v>59.810230476857932</v>
      </c>
      <c r="S17" s="172">
        <f t="shared" si="5"/>
        <v>62.439657916651406</v>
      </c>
      <c r="T17" s="172">
        <f t="shared" si="5"/>
        <v>66.991871031366571</v>
      </c>
      <c r="U17" s="172">
        <f t="shared" si="5"/>
        <v>68.956670237660006</v>
      </c>
      <c r="V17" s="172">
        <f t="shared" si="5"/>
        <v>71.244645560299745</v>
      </c>
      <c r="W17" s="172">
        <f t="shared" si="5"/>
        <v>74.576926173988539</v>
      </c>
    </row>
    <row r="18" spans="1:23" s="168" customFormat="1" ht="15" x14ac:dyDescent="0.25">
      <c r="A18" s="168" t="s">
        <v>149</v>
      </c>
      <c r="C18" s="168">
        <v>0</v>
      </c>
      <c r="D18" s="198">
        <f>D17-D16</f>
        <v>0.11026400421208749</v>
      </c>
      <c r="E18" s="198">
        <f t="shared" ref="E18:W18" si="6">E17-E16</f>
        <v>0.1452482638183632</v>
      </c>
      <c r="F18" s="198">
        <f t="shared" si="6"/>
        <v>0.1694233100414273</v>
      </c>
      <c r="G18" s="198">
        <f t="shared" si="6"/>
        <v>0.22234284886365074</v>
      </c>
      <c r="H18" s="198">
        <f t="shared" si="6"/>
        <v>2.0309991694866874</v>
      </c>
      <c r="I18" s="198">
        <f t="shared" si="6"/>
        <v>2.0390095862386595</v>
      </c>
      <c r="J18" s="198">
        <f t="shared" si="6"/>
        <v>2.0080321290438228</v>
      </c>
      <c r="K18" s="198">
        <f t="shared" si="6"/>
        <v>0.10824261552443204</v>
      </c>
      <c r="L18" s="198">
        <f t="shared" si="6"/>
        <v>1.9680018848100431</v>
      </c>
      <c r="M18" s="198">
        <f t="shared" si="6"/>
        <v>1.9243730274319688</v>
      </c>
      <c r="N18" s="198">
        <f t="shared" si="6"/>
        <v>-0.13186191055459773</v>
      </c>
      <c r="O18" s="198">
        <f t="shared" si="6"/>
        <v>1.8743266494620059</v>
      </c>
      <c r="P18" s="198">
        <f t="shared" si="6"/>
        <v>-0.34085288670692648</v>
      </c>
      <c r="Q18" s="198">
        <f t="shared" si="6"/>
        <v>1.6928342050600023</v>
      </c>
      <c r="R18" s="198">
        <f t="shared" si="6"/>
        <v>-0.41621945827031226</v>
      </c>
      <c r="S18" s="198">
        <f t="shared" si="6"/>
        <v>1.6870353051407889</v>
      </c>
      <c r="T18" s="198">
        <f t="shared" si="6"/>
        <v>1.5936245059217669</v>
      </c>
      <c r="U18" s="198">
        <f t="shared" si="6"/>
        <v>-0.60035648383872342</v>
      </c>
      <c r="V18" s="198">
        <f t="shared" si="6"/>
        <v>1.5842163157054898</v>
      </c>
      <c r="W18" s="198">
        <f t="shared" si="6"/>
        <v>1.5274497735773025</v>
      </c>
    </row>
    <row r="19" spans="1:23" ht="15" x14ac:dyDescent="0.25">
      <c r="A19" t="s">
        <v>143</v>
      </c>
      <c r="D19" s="180">
        <f>AVERAGE(D18:W18)</f>
        <v>0.95980664274839689</v>
      </c>
    </row>
    <row r="20" spans="1:23" ht="15" x14ac:dyDescent="0.25">
      <c r="A20" t="s">
        <v>133</v>
      </c>
      <c r="D20" s="181">
        <f>D19/AVERAGE(D16:W16)</f>
        <v>2.2533036495063049E-2</v>
      </c>
    </row>
    <row r="21" spans="1:23" ht="15" x14ac:dyDescent="0.25">
      <c r="D21" s="172"/>
      <c r="E21" s="172"/>
      <c r="F21" s="172"/>
      <c r="G21" s="172"/>
      <c r="H21" s="172"/>
      <c r="I21" s="172"/>
      <c r="J21" s="172"/>
      <c r="K21" s="172"/>
      <c r="L21" s="172"/>
      <c r="M21" s="172"/>
      <c r="N21" s="172"/>
      <c r="O21" s="172"/>
      <c r="P21" s="172"/>
      <c r="Q21" s="172"/>
      <c r="R21" s="172"/>
      <c r="S21" s="172"/>
      <c r="T21" s="172"/>
      <c r="U21" s="172"/>
      <c r="V21" s="172"/>
      <c r="W21" s="172"/>
    </row>
    <row r="22" spans="1:23" ht="15.75" thickBot="1" x14ac:dyDescent="0.3">
      <c r="B22" t="s">
        <v>136</v>
      </c>
      <c r="C22" t="s">
        <v>137</v>
      </c>
      <c r="D22" s="172"/>
      <c r="E22" s="172"/>
      <c r="F22" s="172"/>
      <c r="G22" s="172"/>
      <c r="H22" s="172"/>
      <c r="I22" s="172"/>
      <c r="J22" s="172"/>
      <c r="K22" s="172"/>
      <c r="L22" s="172"/>
      <c r="M22" s="172"/>
      <c r="N22" s="172"/>
      <c r="O22" s="172"/>
      <c r="P22" s="172"/>
      <c r="Q22" s="172"/>
      <c r="R22" s="172"/>
      <c r="S22" s="172"/>
      <c r="T22" s="172"/>
      <c r="U22" s="172"/>
      <c r="V22" s="172"/>
      <c r="W22" s="172"/>
    </row>
    <row r="23" spans="1:23" ht="15" x14ac:dyDescent="0.25">
      <c r="A23" s="182" t="s">
        <v>138</v>
      </c>
      <c r="B23" s="185">
        <f>XNPV(0.078,C16:W16,C$3:W$3)</f>
        <v>364.69654197245006</v>
      </c>
      <c r="C23" s="188">
        <f>-PMT(0.078,20,B23)</f>
        <v>36.594030182248652</v>
      </c>
      <c r="D23" s="172"/>
      <c r="E23" s="172"/>
      <c r="F23" s="172"/>
      <c r="G23" s="172"/>
      <c r="H23" s="172"/>
      <c r="I23" s="172"/>
      <c r="J23" s="172"/>
      <c r="K23" s="172"/>
      <c r="L23" s="172"/>
      <c r="M23" s="172"/>
      <c r="N23" s="172"/>
      <c r="O23" s="172"/>
      <c r="P23" s="172"/>
      <c r="Q23" s="172"/>
      <c r="R23" s="172"/>
      <c r="S23" s="172"/>
      <c r="T23" s="172"/>
      <c r="U23" s="172"/>
      <c r="V23" s="172"/>
      <c r="W23" s="172"/>
    </row>
    <row r="24" spans="1:23" ht="15" x14ac:dyDescent="0.25">
      <c r="A24" s="183" t="s">
        <v>139</v>
      </c>
      <c r="B24" s="186">
        <f>XNPV(0.078,C17:W17,C$3:W$3)</f>
        <v>373.96407055915421</v>
      </c>
      <c r="C24" s="189">
        <f>-PMT(0.078,20,B24)</f>
        <v>37.523943635725601</v>
      </c>
      <c r="D24" s="191"/>
      <c r="E24" s="172"/>
      <c r="F24" s="172"/>
      <c r="G24" s="172"/>
      <c r="H24" s="172"/>
      <c r="I24" s="172"/>
      <c r="J24" s="172"/>
      <c r="K24" s="172"/>
      <c r="L24" s="172"/>
      <c r="M24" s="172"/>
      <c r="N24" s="172"/>
      <c r="O24" s="172"/>
      <c r="P24" s="172"/>
      <c r="Q24" s="172"/>
      <c r="R24" s="172"/>
      <c r="S24" s="172"/>
      <c r="T24" s="172"/>
      <c r="U24" s="172"/>
      <c r="V24" s="172"/>
      <c r="W24" s="172"/>
    </row>
    <row r="25" spans="1:23" ht="15.75" thickBot="1" x14ac:dyDescent="0.3">
      <c r="A25" s="184" t="s">
        <v>140</v>
      </c>
      <c r="B25" s="187">
        <f>XNPV(0.078,C18:W18,C$3:W$3)</f>
        <v>9.2675285867041062</v>
      </c>
      <c r="C25" s="190">
        <f>-PMT(0.078,20,B25)</f>
        <v>0.92991345347694931</v>
      </c>
      <c r="D25" s="172"/>
      <c r="E25" s="172"/>
      <c r="F25" s="172"/>
      <c r="G25" s="172"/>
      <c r="H25" s="172"/>
      <c r="I25" s="172"/>
      <c r="J25" s="172"/>
      <c r="K25" s="172"/>
      <c r="L25" s="172"/>
      <c r="M25" s="172"/>
      <c r="N25" s="172"/>
      <c r="O25" s="172"/>
      <c r="P25" s="172"/>
      <c r="Q25" s="172"/>
      <c r="R25" s="172"/>
      <c r="S25" s="172"/>
      <c r="T25" s="172"/>
      <c r="U25" s="172"/>
      <c r="V25" s="172"/>
      <c r="W25" s="172"/>
    </row>
    <row r="26" spans="1:23" ht="15" x14ac:dyDescent="0.25">
      <c r="D26" s="172"/>
      <c r="E26" s="172"/>
      <c r="F26" s="172"/>
      <c r="G26" s="172"/>
      <c r="H26" s="172"/>
      <c r="I26" s="172"/>
      <c r="J26" s="172"/>
      <c r="K26" s="172"/>
      <c r="L26" s="172"/>
      <c r="M26" s="172"/>
      <c r="N26" s="172"/>
      <c r="O26" s="172"/>
      <c r="P26" s="172"/>
      <c r="Q26" s="172"/>
      <c r="R26" s="172"/>
      <c r="S26" s="172"/>
      <c r="T26" s="172"/>
      <c r="U26" s="172"/>
      <c r="V26" s="172"/>
      <c r="W26" s="172"/>
    </row>
    <row r="27" spans="1:23" ht="15" x14ac:dyDescent="0.25">
      <c r="D27" s="181"/>
    </row>
    <row r="28" spans="1:23" ht="15.75" thickBot="1" x14ac:dyDescent="0.3"/>
    <row r="29" spans="1:23" ht="15" x14ac:dyDescent="0.25">
      <c r="A29" s="199"/>
      <c r="B29" s="199" t="s">
        <v>153</v>
      </c>
      <c r="C29" s="200" t="s">
        <v>151</v>
      </c>
      <c r="D29" s="204" t="s">
        <v>105</v>
      </c>
      <c r="E29" s="205" t="s">
        <v>152</v>
      </c>
    </row>
    <row r="30" spans="1:23" ht="15" x14ac:dyDescent="0.25">
      <c r="A30" s="206" t="s">
        <v>154</v>
      </c>
      <c r="B30" s="201">
        <v>363004.82273692428</v>
      </c>
      <c r="C30" s="202">
        <v>364230</v>
      </c>
      <c r="D30" s="203">
        <f>B30-C30</f>
        <v>-1225.1772630757187</v>
      </c>
      <c r="E30" s="207">
        <f>D30/C30</f>
        <v>-3.3637461578555272E-3</v>
      </c>
    </row>
    <row r="31" spans="1:23" ht="15.75" thickBot="1" x14ac:dyDescent="0.3">
      <c r="A31" s="208" t="s">
        <v>106</v>
      </c>
      <c r="B31" s="209">
        <v>36424.28131534165</v>
      </c>
      <c r="C31" s="210">
        <v>36547</v>
      </c>
      <c r="D31" s="211">
        <f>B31-C31</f>
        <v>-122.71868465834996</v>
      </c>
      <c r="E31" s="212">
        <f>D31/C31</f>
        <v>-3.3578319604440844E-3</v>
      </c>
    </row>
    <row r="35" spans="4:23" ht="15" x14ac:dyDescent="0.25">
      <c r="D35" s="217">
        <f>60.736/0.95</f>
        <v>63.932631578947365</v>
      </c>
      <c r="E35" s="217">
        <f>E17-D17+D35</f>
        <v>62.995520403326353</v>
      </c>
      <c r="F35" s="217">
        <f t="shared" ref="F35:W35" si="7">F17-E17+E35</f>
        <v>62.867166667027973</v>
      </c>
      <c r="G35" s="217">
        <f t="shared" si="7"/>
        <v>63.805261783841587</v>
      </c>
      <c r="H35" s="217">
        <f t="shared" si="7"/>
        <v>68.207819520405991</v>
      </c>
      <c r="I35" s="217">
        <f t="shared" si="7"/>
        <v>69.930359723790218</v>
      </c>
      <c r="J35" s="217">
        <f t="shared" si="7"/>
        <v>70.398627954438325</v>
      </c>
      <c r="K35" s="217">
        <f t="shared" si="7"/>
        <v>71.356663585531876</v>
      </c>
      <c r="L35" s="217">
        <f t="shared" si="7"/>
        <v>78.214673027687468</v>
      </c>
      <c r="M35" s="217">
        <f t="shared" si="7"/>
        <v>80.448326611251005</v>
      </c>
      <c r="N35" s="217">
        <f t="shared" si="7"/>
        <v>80.982047166420017</v>
      </c>
      <c r="O35" s="217">
        <f t="shared" si="7"/>
        <v>85.802545321924882</v>
      </c>
      <c r="P35" s="217">
        <f t="shared" si="7"/>
        <v>96.382320940988492</v>
      </c>
      <c r="Q35" s="217">
        <f t="shared" si="7"/>
        <v>100.54226295635644</v>
      </c>
      <c r="R35" s="217">
        <f t="shared" si="7"/>
        <v>101.86590806674104</v>
      </c>
      <c r="S35" s="217">
        <f t="shared" si="7"/>
        <v>104.49533550653452</v>
      </c>
      <c r="T35" s="217">
        <f t="shared" si="7"/>
        <v>109.04754862124969</v>
      </c>
      <c r="U35" s="217">
        <f t="shared" si="7"/>
        <v>111.01234782754312</v>
      </c>
      <c r="V35" s="217">
        <f t="shared" si="7"/>
        <v>113.30032315018286</v>
      </c>
      <c r="W35" s="217">
        <f t="shared" si="7"/>
        <v>116.63260376387166</v>
      </c>
    </row>
    <row r="39" spans="4:23" ht="15" x14ac:dyDescent="0.25">
      <c r="D39" s="163">
        <v>499016.21278530551</v>
      </c>
      <c r="E39" s="163">
        <v>480451.37147991022</v>
      </c>
      <c r="F39" s="163">
        <v>482280.9355936838</v>
      </c>
      <c r="G39" s="163">
        <v>504121.10597047117</v>
      </c>
      <c r="H39" s="163">
        <v>566399.55241298978</v>
      </c>
      <c r="I39" s="163">
        <v>607479.5424332181</v>
      </c>
      <c r="J39" s="163">
        <v>621384.87851813482</v>
      </c>
      <c r="K39" s="163">
        <v>686072.55792215071</v>
      </c>
      <c r="L39" s="163">
        <v>808453.97487105464</v>
      </c>
      <c r="M39" s="163">
        <v>872641.42617472587</v>
      </c>
      <c r="N39" s="163">
        <v>950571.74093786592</v>
      </c>
      <c r="O39" s="163">
        <v>1030479.8024939192</v>
      </c>
      <c r="P39" s="163">
        <v>1365456.2939300321</v>
      </c>
      <c r="Q39" s="163">
        <v>1439298.3649081727</v>
      </c>
      <c r="R39" s="163">
        <v>1556777.3636845474</v>
      </c>
      <c r="S39" s="163">
        <v>1590947.5186301477</v>
      </c>
      <c r="T39" s="163">
        <v>1742507.6342384988</v>
      </c>
      <c r="U39" s="163">
        <v>1885187.2624323135</v>
      </c>
      <c r="V39" s="163">
        <v>1920708.0057208205</v>
      </c>
      <c r="W39" s="163">
        <v>2050222.0911429389</v>
      </c>
    </row>
    <row r="40" spans="4:23" ht="15" x14ac:dyDescent="0.25">
      <c r="D40" s="163">
        <v>508614.31482761551</v>
      </c>
      <c r="E40" s="163">
        <v>490660.60690225469</v>
      </c>
      <c r="F40" s="163">
        <v>493187.64577691111</v>
      </c>
      <c r="G40" s="163">
        <v>516691.41749508405</v>
      </c>
      <c r="H40" s="163">
        <v>623066.48366406176</v>
      </c>
      <c r="I40" s="163">
        <v>665088.35633861029</v>
      </c>
      <c r="J40" s="163">
        <v>678690.73145190906</v>
      </c>
      <c r="K40" s="163">
        <v>698862.33807532699</v>
      </c>
      <c r="L40" s="163">
        <v>867721.18460152275</v>
      </c>
      <c r="M40" s="163">
        <v>932313.53691137093</v>
      </c>
      <c r="N40" s="163">
        <v>961399.36797656026</v>
      </c>
      <c r="O40" s="163">
        <v>1092643.3226616185</v>
      </c>
      <c r="P40" s="163">
        <v>1377278.1554963561</v>
      </c>
      <c r="Q40" s="163">
        <v>1504547.5502141349</v>
      </c>
      <c r="R40" s="163">
        <v>1569418.4909172601</v>
      </c>
      <c r="S40" s="163">
        <v>1659933.6978159691</v>
      </c>
      <c r="T40" s="163">
        <v>1812113.4160977167</v>
      </c>
      <c r="U40" s="163">
        <v>1897453.0651429603</v>
      </c>
      <c r="V40" s="163">
        <v>1994502.3325659712</v>
      </c>
      <c r="W40" s="163">
        <v>2125287.1187494332</v>
      </c>
    </row>
    <row r="44" spans="4:23" ht="15" x14ac:dyDescent="0.25">
      <c r="D44" s="163">
        <v>499016.21278530551</v>
      </c>
      <c r="E44" s="163">
        <v>508614.31482761551</v>
      </c>
    </row>
    <row r="45" spans="4:23" ht="15" x14ac:dyDescent="0.25">
      <c r="D45" s="163">
        <v>480451.37147991022</v>
      </c>
      <c r="E45" s="163">
        <v>490660.60690225469</v>
      </c>
    </row>
    <row r="46" spans="4:23" ht="15" x14ac:dyDescent="0.25">
      <c r="D46" s="163">
        <v>482280.9355936838</v>
      </c>
      <c r="E46" s="163">
        <v>493187.64577691111</v>
      </c>
    </row>
    <row r="47" spans="4:23" ht="15" x14ac:dyDescent="0.25">
      <c r="D47" s="163">
        <v>504121.10597047117</v>
      </c>
      <c r="E47" s="163">
        <v>516691.41749508405</v>
      </c>
    </row>
    <row r="48" spans="4:23" ht="15" x14ac:dyDescent="0.25">
      <c r="D48" s="163">
        <v>566399.55241298978</v>
      </c>
      <c r="E48" s="163">
        <v>623066.48366406176</v>
      </c>
    </row>
    <row r="49" spans="4:5" x14ac:dyDescent="0.3">
      <c r="D49" s="163">
        <v>607479.5424332181</v>
      </c>
      <c r="E49" s="163">
        <v>665088.35633861029</v>
      </c>
    </row>
    <row r="50" spans="4:5" x14ac:dyDescent="0.3">
      <c r="D50" s="163">
        <v>621384.87851813482</v>
      </c>
      <c r="E50" s="163">
        <v>678690.73145190906</v>
      </c>
    </row>
    <row r="51" spans="4:5" x14ac:dyDescent="0.3">
      <c r="D51" s="163">
        <v>686072.55792215071</v>
      </c>
      <c r="E51" s="163">
        <v>698862.33807532699</v>
      </c>
    </row>
    <row r="52" spans="4:5" x14ac:dyDescent="0.3">
      <c r="D52" s="163">
        <v>808453.97487105464</v>
      </c>
      <c r="E52" s="163">
        <v>867721.18460152275</v>
      </c>
    </row>
    <row r="53" spans="4:5" x14ac:dyDescent="0.3">
      <c r="D53" s="163">
        <v>872641.42617472587</v>
      </c>
      <c r="E53" s="163">
        <v>932313.53691137093</v>
      </c>
    </row>
    <row r="54" spans="4:5" x14ac:dyDescent="0.3">
      <c r="D54" s="163">
        <v>950571.74093786592</v>
      </c>
      <c r="E54" s="163">
        <v>961399.36797656026</v>
      </c>
    </row>
    <row r="55" spans="4:5" x14ac:dyDescent="0.3">
      <c r="D55" s="163">
        <v>1030479.8024939192</v>
      </c>
      <c r="E55" s="163">
        <v>1092643.3226616185</v>
      </c>
    </row>
    <row r="56" spans="4:5" x14ac:dyDescent="0.3">
      <c r="D56" s="163">
        <v>1365456.2939300321</v>
      </c>
      <c r="E56" s="163">
        <v>1377278.1554963561</v>
      </c>
    </row>
    <row r="57" spans="4:5" x14ac:dyDescent="0.3">
      <c r="D57" s="163">
        <v>1439298.3649081727</v>
      </c>
      <c r="E57" s="163">
        <v>1504547.5502141349</v>
      </c>
    </row>
    <row r="58" spans="4:5" x14ac:dyDescent="0.3">
      <c r="D58" s="163">
        <v>1556777.3636845474</v>
      </c>
      <c r="E58" s="163">
        <v>1569418.4909172601</v>
      </c>
    </row>
    <row r="59" spans="4:5" x14ac:dyDescent="0.3">
      <c r="D59" s="163">
        <v>1590947.5186301477</v>
      </c>
      <c r="E59" s="163">
        <v>1659933.6978159691</v>
      </c>
    </row>
    <row r="60" spans="4:5" x14ac:dyDescent="0.3">
      <c r="D60" s="163">
        <v>1742507.6342384988</v>
      </c>
      <c r="E60" s="163">
        <v>1812113.4160977167</v>
      </c>
    </row>
    <row r="61" spans="4:5" x14ac:dyDescent="0.3">
      <c r="D61" s="163">
        <v>1885187.2624323135</v>
      </c>
      <c r="E61" s="163">
        <v>1897453.0651429603</v>
      </c>
    </row>
    <row r="62" spans="4:5" x14ac:dyDescent="0.3">
      <c r="D62" s="163">
        <v>1920708.0057208205</v>
      </c>
      <c r="E62" s="163">
        <v>1994502.3325659712</v>
      </c>
    </row>
    <row r="63" spans="4:5" x14ac:dyDescent="0.3">
      <c r="D63" s="163">
        <v>2050222.0911429389</v>
      </c>
      <c r="E63" s="163">
        <v>2125287.1187494332</v>
      </c>
    </row>
  </sheetData>
  <pageMargins left="0.7" right="0.7" top="0.75" bottom="0.75" header="0.3" footer="0.3"/>
  <pageSetup scale="63"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Y96"/>
  <sheetViews>
    <sheetView topLeftCell="A12" workbookViewId="0">
      <selection activeCell="D17" sqref="D17"/>
    </sheetView>
  </sheetViews>
  <sheetFormatPr defaultColWidth="9.109375" defaultRowHeight="13.8" x14ac:dyDescent="0.3"/>
  <cols>
    <col min="1" max="1" width="34.6640625" style="9" customWidth="1"/>
    <col min="2" max="3" width="14.88671875" style="9" customWidth="1"/>
    <col min="4" max="4" width="14.88671875" style="58" customWidth="1"/>
    <col min="5" max="6" width="14.88671875" style="9" customWidth="1"/>
    <col min="7" max="7" width="15.88671875" style="9" customWidth="1"/>
    <col min="8" max="10" width="14.88671875" style="9" customWidth="1"/>
    <col min="11" max="11" width="11.33203125" style="9" customWidth="1"/>
    <col min="12" max="12" width="12" style="9" customWidth="1"/>
    <col min="13" max="13" width="12.6640625" style="9" customWidth="1"/>
    <col min="14" max="26" width="11" style="9" customWidth="1"/>
    <col min="27" max="16384" width="9.109375" style="9"/>
  </cols>
  <sheetData>
    <row r="1" spans="1:23" ht="23.25" x14ac:dyDescent="0.35">
      <c r="A1" s="3" t="s">
        <v>0</v>
      </c>
      <c r="B1" s="4"/>
      <c r="C1" s="4" t="s">
        <v>120</v>
      </c>
      <c r="D1" s="5" t="s">
        <v>134</v>
      </c>
      <c r="E1" s="4"/>
      <c r="F1" s="4"/>
      <c r="G1" s="6"/>
      <c r="H1" s="7"/>
      <c r="I1" s="4"/>
      <c r="J1" s="8"/>
    </row>
    <row r="2" spans="1:23" ht="21" x14ac:dyDescent="0.35">
      <c r="A2" s="10" t="s">
        <v>1</v>
      </c>
      <c r="B2" s="4"/>
      <c r="C2" s="4"/>
      <c r="D2" s="5"/>
      <c r="E2" s="4"/>
      <c r="F2" s="11"/>
      <c r="G2" s="6"/>
      <c r="H2" s="4"/>
      <c r="I2" s="4"/>
      <c r="J2" s="4"/>
    </row>
    <row r="3" spans="1:23" ht="12.75" x14ac:dyDescent="0.2">
      <c r="A3" s="12"/>
      <c r="B3" s="4"/>
      <c r="C3" s="4"/>
      <c r="D3" s="5"/>
      <c r="E3" s="4"/>
      <c r="F3" s="13"/>
      <c r="G3" s="14"/>
      <c r="H3" s="5"/>
      <c r="I3" s="4"/>
      <c r="J3" s="4"/>
    </row>
    <row r="4" spans="1:23" ht="15.75" x14ac:dyDescent="0.25">
      <c r="A4" s="15" t="s">
        <v>2</v>
      </c>
      <c r="B4" s="16" t="s">
        <v>3</v>
      </c>
      <c r="C4" s="17"/>
      <c r="D4" s="11"/>
      <c r="E4" s="18"/>
      <c r="F4" s="19"/>
      <c r="G4" s="20"/>
      <c r="H4" s="20"/>
      <c r="I4" s="20"/>
      <c r="J4" s="20"/>
      <c r="K4" s="20"/>
      <c r="L4" s="20"/>
      <c r="M4" s="20"/>
      <c r="N4" s="20"/>
    </row>
    <row r="5" spans="1:23" s="26" customFormat="1" ht="15.75" x14ac:dyDescent="0.25">
      <c r="A5" s="21" t="s">
        <v>5</v>
      </c>
      <c r="B5" s="22">
        <v>1222136.1672029479</v>
      </c>
      <c r="C5" s="22"/>
      <c r="D5" s="23"/>
      <c r="E5" s="24"/>
      <c r="F5" s="25"/>
      <c r="G5" s="24"/>
      <c r="H5" s="24"/>
      <c r="I5" s="24"/>
      <c r="J5" s="24"/>
      <c r="K5" s="24"/>
      <c r="L5" s="24"/>
      <c r="M5" s="24"/>
      <c r="N5" s="24"/>
    </row>
    <row r="6" spans="1:23" s="26" customFormat="1" ht="15.75" x14ac:dyDescent="0.25">
      <c r="A6" s="27" t="s">
        <v>6</v>
      </c>
      <c r="B6" s="28">
        <v>0</v>
      </c>
      <c r="C6" s="28"/>
      <c r="D6" s="23"/>
      <c r="E6" s="29"/>
      <c r="F6" s="13"/>
      <c r="H6" s="30"/>
    </row>
    <row r="7" spans="1:23" s="26" customFormat="1" ht="15.75" x14ac:dyDescent="0.25">
      <c r="A7" s="27" t="s">
        <v>7</v>
      </c>
      <c r="B7" s="28">
        <v>3345887.3664812841</v>
      </c>
      <c r="C7" s="28"/>
      <c r="D7" s="23"/>
      <c r="E7" s="29"/>
      <c r="F7" s="13"/>
      <c r="H7" s="30"/>
    </row>
    <row r="8" spans="1:23" s="26" customFormat="1" ht="15.75" x14ac:dyDescent="0.25">
      <c r="A8" s="27" t="s">
        <v>8</v>
      </c>
      <c r="B8" s="28">
        <v>5550956.6494938247</v>
      </c>
      <c r="C8" s="28"/>
      <c r="D8" s="23"/>
      <c r="E8" s="29"/>
      <c r="F8" s="13"/>
      <c r="H8" s="30"/>
    </row>
    <row r="9" spans="1:23" s="26" customFormat="1" ht="15.75" x14ac:dyDescent="0.25">
      <c r="A9" s="27" t="s">
        <v>9</v>
      </c>
      <c r="B9" s="28">
        <v>1683817.0300550289</v>
      </c>
      <c r="C9" s="28"/>
      <c r="D9" s="23"/>
      <c r="E9" s="29"/>
      <c r="F9" s="13"/>
      <c r="H9" s="30"/>
    </row>
    <row r="10" spans="1:23" s="26" customFormat="1" ht="15.75" x14ac:dyDescent="0.25">
      <c r="A10" s="27" t="s">
        <v>4</v>
      </c>
      <c r="B10" s="28">
        <v>-21299.119628025415</v>
      </c>
      <c r="C10" s="28"/>
      <c r="D10" s="23"/>
      <c r="E10" s="29"/>
      <c r="F10" s="13"/>
      <c r="H10" s="30"/>
    </row>
    <row r="11" spans="1:23" ht="15.75" x14ac:dyDescent="0.25">
      <c r="A11" s="31" t="s">
        <v>10</v>
      </c>
      <c r="B11" s="32">
        <v>11781498.09360506</v>
      </c>
      <c r="C11" s="32"/>
      <c r="D11" s="23"/>
      <c r="E11" s="33"/>
      <c r="F11" s="13"/>
      <c r="H11" s="30"/>
    </row>
    <row r="12" spans="1:23" ht="12.75" x14ac:dyDescent="0.2">
      <c r="A12" s="34"/>
      <c r="B12" s="34"/>
      <c r="C12" s="35"/>
      <c r="D12" s="35"/>
      <c r="E12" s="36"/>
      <c r="F12" s="13"/>
      <c r="G12" s="26"/>
      <c r="H12" s="30"/>
      <c r="I12" s="26"/>
      <c r="J12" s="26"/>
      <c r="K12" s="37"/>
    </row>
    <row r="13" spans="1:23" ht="12.75" x14ac:dyDescent="0.2">
      <c r="A13" s="26"/>
      <c r="B13" s="35"/>
      <c r="C13" s="38"/>
      <c r="D13" s="39"/>
      <c r="E13" s="26"/>
      <c r="F13" s="37"/>
      <c r="G13" s="26"/>
      <c r="H13" s="35"/>
      <c r="I13" s="38"/>
      <c r="J13" s="38"/>
    </row>
    <row r="15" spans="1:23" ht="12.75" x14ac:dyDescent="0.2">
      <c r="A15" s="274" t="s">
        <v>224</v>
      </c>
    </row>
    <row r="16" spans="1:23" ht="15.75" x14ac:dyDescent="0.2">
      <c r="A16" s="40" t="s">
        <v>11</v>
      </c>
      <c r="B16" s="9" t="s">
        <v>12</v>
      </c>
      <c r="D16" s="41">
        <v>2014</v>
      </c>
      <c r="E16" s="41">
        <v>2015</v>
      </c>
      <c r="F16" s="41">
        <v>2016</v>
      </c>
      <c r="G16" s="41">
        <v>2017</v>
      </c>
      <c r="H16" s="41">
        <v>2018</v>
      </c>
      <c r="I16" s="41">
        <v>2019</v>
      </c>
      <c r="J16" s="41">
        <v>2020</v>
      </c>
      <c r="K16" s="41">
        <v>2021</v>
      </c>
      <c r="L16" s="41">
        <v>2022</v>
      </c>
      <c r="M16" s="41">
        <v>2023</v>
      </c>
      <c r="N16" s="41">
        <v>2024</v>
      </c>
      <c r="O16" s="41">
        <v>2025</v>
      </c>
      <c r="P16" s="41">
        <v>2026</v>
      </c>
      <c r="Q16" s="41">
        <v>2027</v>
      </c>
      <c r="R16" s="41">
        <v>2028</v>
      </c>
      <c r="S16" s="41">
        <v>2029</v>
      </c>
      <c r="T16" s="41">
        <v>2030</v>
      </c>
      <c r="U16" s="41">
        <v>2031</v>
      </c>
      <c r="V16" s="41">
        <v>2032</v>
      </c>
      <c r="W16" s="41">
        <v>2033</v>
      </c>
    </row>
    <row r="17" spans="1:23" ht="12.75" x14ac:dyDescent="0.2">
      <c r="A17" s="17" t="s">
        <v>5</v>
      </c>
      <c r="B17" s="30">
        <v>1222136.1672029479</v>
      </c>
      <c r="C17" s="42"/>
      <c r="D17" s="43">
        <v>206996.79617636107</v>
      </c>
      <c r="E17" s="44">
        <v>181740.09923892212</v>
      </c>
      <c r="F17" s="44">
        <v>158375.60529335029</v>
      </c>
      <c r="G17" s="44">
        <v>112553.98382951354</v>
      </c>
      <c r="H17" s="44">
        <v>107225.31586876675</v>
      </c>
      <c r="I17" s="44">
        <v>100789.28742745967</v>
      </c>
      <c r="J17" s="44">
        <v>129944.36824823002</v>
      </c>
      <c r="K17" s="44">
        <v>77383.152689819224</v>
      </c>
      <c r="L17" s="44">
        <v>58727.075401061913</v>
      </c>
      <c r="M17" s="44">
        <v>33250.520300857606</v>
      </c>
      <c r="N17" s="44">
        <v>6882.5450110016391</v>
      </c>
      <c r="O17" s="44">
        <v>69517.316877014819</v>
      </c>
      <c r="P17" s="44">
        <v>88504.867124450859</v>
      </c>
      <c r="Q17" s="44">
        <v>96886.066412414308</v>
      </c>
      <c r="R17" s="44">
        <v>81410.908172119409</v>
      </c>
      <c r="S17" s="44">
        <v>130406.94651094079</v>
      </c>
      <c r="T17" s="44">
        <v>128304.86243484518</v>
      </c>
      <c r="U17" s="44">
        <v>131395.7373332975</v>
      </c>
      <c r="V17" s="44">
        <v>178335.37197109987</v>
      </c>
      <c r="W17" s="45">
        <v>176955.28946046415</v>
      </c>
    </row>
    <row r="18" spans="1:23" ht="12.75" x14ac:dyDescent="0.2">
      <c r="A18" s="17" t="s">
        <v>6</v>
      </c>
      <c r="B18" s="30">
        <v>0</v>
      </c>
      <c r="C18" s="42"/>
      <c r="D18" s="46">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8">
        <v>0</v>
      </c>
    </row>
    <row r="19" spans="1:23" ht="12.75" x14ac:dyDescent="0.2">
      <c r="A19" s="17" t="s">
        <v>13</v>
      </c>
      <c r="B19" s="30">
        <v>3437539.1495211665</v>
      </c>
      <c r="C19" s="42"/>
      <c r="D19" s="46">
        <v>178227.56279952324</v>
      </c>
      <c r="E19" s="47">
        <v>188973.34371501132</v>
      </c>
      <c r="F19" s="47">
        <v>211114.77581362729</v>
      </c>
      <c r="G19" s="47">
        <v>258438.70768449194</v>
      </c>
      <c r="H19" s="47">
        <v>309328.00197103759</v>
      </c>
      <c r="I19" s="47">
        <v>330437.44260517904</v>
      </c>
      <c r="J19" s="47">
        <v>338316.84275099111</v>
      </c>
      <c r="K19" s="47">
        <v>353366.22000830498</v>
      </c>
      <c r="L19" s="47">
        <v>362411.00090103236</v>
      </c>
      <c r="M19" s="47">
        <v>371499.13806471217</v>
      </c>
      <c r="N19" s="47">
        <v>390086.63477098843</v>
      </c>
      <c r="O19" s="47">
        <v>406100.44637255103</v>
      </c>
      <c r="P19" s="47">
        <v>420054.93158884853</v>
      </c>
      <c r="Q19" s="47">
        <v>437197.13199035457</v>
      </c>
      <c r="R19" s="47">
        <v>453485.73614249658</v>
      </c>
      <c r="S19" s="47">
        <v>461420.26671207114</v>
      </c>
      <c r="T19" s="47">
        <v>475444.00696082902</v>
      </c>
      <c r="U19" s="47">
        <v>516761.51206621836</v>
      </c>
      <c r="V19" s="47">
        <v>529052.15846199472</v>
      </c>
      <c r="W19" s="48">
        <v>542498.59484466421</v>
      </c>
    </row>
    <row r="20" spans="1:23" ht="12.75" x14ac:dyDescent="0.2">
      <c r="A20" s="11" t="s">
        <v>14</v>
      </c>
      <c r="B20" s="30">
        <v>0</v>
      </c>
      <c r="C20" s="42"/>
      <c r="D20" s="46">
        <v>0</v>
      </c>
      <c r="E20" s="47">
        <v>0</v>
      </c>
      <c r="F20" s="47">
        <v>0</v>
      </c>
      <c r="G20" s="47">
        <v>0</v>
      </c>
      <c r="H20" s="47">
        <v>0</v>
      </c>
      <c r="I20" s="47">
        <v>0</v>
      </c>
      <c r="J20" s="47">
        <v>0</v>
      </c>
      <c r="K20" s="47">
        <v>0</v>
      </c>
      <c r="L20" s="47">
        <v>0</v>
      </c>
      <c r="M20" s="47">
        <v>0</v>
      </c>
      <c r="N20" s="47">
        <v>0</v>
      </c>
      <c r="O20" s="47">
        <v>0</v>
      </c>
      <c r="P20" s="47">
        <v>0</v>
      </c>
      <c r="Q20" s="47">
        <v>0</v>
      </c>
      <c r="R20" s="47">
        <v>0</v>
      </c>
      <c r="S20" s="47">
        <v>0</v>
      </c>
      <c r="T20" s="47">
        <v>0</v>
      </c>
      <c r="U20" s="47">
        <v>0</v>
      </c>
      <c r="V20" s="47">
        <v>0</v>
      </c>
      <c r="W20" s="48">
        <v>0</v>
      </c>
    </row>
    <row r="21" spans="1:23" ht="12.75" x14ac:dyDescent="0.2">
      <c r="A21" s="17" t="s">
        <v>8</v>
      </c>
      <c r="B21" s="30">
        <v>2713953.2524358565</v>
      </c>
      <c r="C21" s="42"/>
      <c r="D21" s="46">
        <v>0</v>
      </c>
      <c r="E21" s="47">
        <v>0</v>
      </c>
      <c r="F21" s="47">
        <v>0</v>
      </c>
      <c r="G21" s="47">
        <v>0</v>
      </c>
      <c r="H21" s="47">
        <v>0</v>
      </c>
      <c r="I21" s="47">
        <v>0</v>
      </c>
      <c r="J21" s="47">
        <v>0</v>
      </c>
      <c r="K21" s="47">
        <v>77912.095386733869</v>
      </c>
      <c r="L21" s="47">
        <v>216417.65404904183</v>
      </c>
      <c r="M21" s="47">
        <v>289584.64723891369</v>
      </c>
      <c r="N21" s="47">
        <v>367915.43867394316</v>
      </c>
      <c r="O21" s="47">
        <v>365627.3170490457</v>
      </c>
      <c r="P21" s="47">
        <v>648074.62580926495</v>
      </c>
      <c r="Q21" s="47">
        <v>698934.97940441011</v>
      </c>
      <c r="R21" s="47">
        <v>802631.00378957635</v>
      </c>
      <c r="S21" s="47">
        <v>791100.95894440252</v>
      </c>
      <c r="T21" s="47">
        <v>939331.76865542273</v>
      </c>
      <c r="U21" s="47">
        <v>1043418.5887194659</v>
      </c>
      <c r="V21" s="47">
        <v>1021738.0293594142</v>
      </c>
      <c r="W21" s="48">
        <v>1132008.2359258544</v>
      </c>
    </row>
    <row r="22" spans="1:23" ht="12.75" x14ac:dyDescent="0.2">
      <c r="A22" s="17" t="s">
        <v>4</v>
      </c>
      <c r="B22" s="30">
        <v>-21299.119628025415</v>
      </c>
      <c r="C22" s="42"/>
      <c r="D22" s="49">
        <v>-5161.9873412202223</v>
      </c>
      <c r="E22" s="50">
        <v>-1304.5701266006242</v>
      </c>
      <c r="F22" s="50">
        <v>-5017.2774935818024</v>
      </c>
      <c r="G22" s="50">
        <v>-3173.8565172167173</v>
      </c>
      <c r="H22" s="50">
        <v>0</v>
      </c>
      <c r="I22" s="50">
        <v>0</v>
      </c>
      <c r="J22" s="50">
        <v>0</v>
      </c>
      <c r="K22" s="50">
        <v>-1883.8460298977807</v>
      </c>
      <c r="L22" s="50">
        <v>-1745.4765856569661</v>
      </c>
      <c r="M22" s="50">
        <v>-1759.6572737693416</v>
      </c>
      <c r="N22" s="50">
        <v>-1624.2423866485103</v>
      </c>
      <c r="O22" s="50">
        <v>-1139.3672080236897</v>
      </c>
      <c r="P22" s="50">
        <v>-654.83736783998154</v>
      </c>
      <c r="Q22" s="50">
        <v>-1835.5274817475859</v>
      </c>
      <c r="R22" s="50">
        <v>-1472.7378895172731</v>
      </c>
      <c r="S22" s="50">
        <v>-810.73539292133069</v>
      </c>
      <c r="T22" s="50">
        <v>-3449.5699516999848</v>
      </c>
      <c r="U22" s="50">
        <v>-2960.7531686770917</v>
      </c>
      <c r="V22" s="50">
        <v>-2481.8204427000337</v>
      </c>
      <c r="W22" s="51">
        <v>-1733.9283068416196</v>
      </c>
    </row>
    <row r="23" spans="1:23" ht="12.75" x14ac:dyDescent="0.2">
      <c r="A23" s="17" t="s">
        <v>9</v>
      </c>
      <c r="B23" s="30">
        <v>1683817.0300550282</v>
      </c>
      <c r="C23" s="42"/>
      <c r="D23" s="52">
        <v>118953.84115064144</v>
      </c>
      <c r="E23" s="53">
        <v>111042.4986525774</v>
      </c>
      <c r="F23" s="53">
        <v>117807.83198028804</v>
      </c>
      <c r="G23" s="53">
        <v>136302.2709736824</v>
      </c>
      <c r="H23" s="53">
        <v>149846.23457318544</v>
      </c>
      <c r="I23" s="53">
        <v>176252.81240057945</v>
      </c>
      <c r="J23" s="53">
        <v>153123.66751891375</v>
      </c>
      <c r="K23" s="53">
        <v>179294.93586719036</v>
      </c>
      <c r="L23" s="53">
        <v>172643.72110557556</v>
      </c>
      <c r="M23" s="53">
        <v>180066.77784401178</v>
      </c>
      <c r="N23" s="53">
        <v>187311.3648685813</v>
      </c>
      <c r="O23" s="53">
        <v>190374.08940333128</v>
      </c>
      <c r="P23" s="53">
        <v>209476.70677530766</v>
      </c>
      <c r="Q23" s="53">
        <v>208115.71458274126</v>
      </c>
      <c r="R23" s="53">
        <v>220722.45346987247</v>
      </c>
      <c r="S23" s="53">
        <v>208830.08185565472</v>
      </c>
      <c r="T23" s="53">
        <v>202876.56613910198</v>
      </c>
      <c r="U23" s="53">
        <v>196572.17748200893</v>
      </c>
      <c r="V23" s="53">
        <v>194064.26637101173</v>
      </c>
      <c r="W23" s="54">
        <v>200493.89921879768</v>
      </c>
    </row>
    <row r="24" spans="1:23" ht="12.75" x14ac:dyDescent="0.2">
      <c r="A24" s="17" t="s">
        <v>15</v>
      </c>
      <c r="B24" s="30">
        <v>9036146.4795869738</v>
      </c>
      <c r="C24" s="42"/>
      <c r="D24" s="55">
        <v>499016.21278530551</v>
      </c>
      <c r="E24" s="56">
        <v>480451.37147991022</v>
      </c>
      <c r="F24" s="56">
        <v>482280.9355936838</v>
      </c>
      <c r="G24" s="56">
        <v>504121.10597047117</v>
      </c>
      <c r="H24" s="56">
        <v>566399.55241298978</v>
      </c>
      <c r="I24" s="56">
        <v>607479.5424332181</v>
      </c>
      <c r="J24" s="56">
        <v>621384.87851813482</v>
      </c>
      <c r="K24" s="56">
        <v>686072.55792215071</v>
      </c>
      <c r="L24" s="56">
        <v>808453.97487105464</v>
      </c>
      <c r="M24" s="56">
        <v>872641.42617472587</v>
      </c>
      <c r="N24" s="56">
        <v>950571.74093786592</v>
      </c>
      <c r="O24" s="56">
        <v>1030479.8024939192</v>
      </c>
      <c r="P24" s="56">
        <v>1365456.2939300321</v>
      </c>
      <c r="Q24" s="56">
        <v>1439298.3649081727</v>
      </c>
      <c r="R24" s="56">
        <v>1556777.3636845474</v>
      </c>
      <c r="S24" s="56">
        <v>1590947.5186301477</v>
      </c>
      <c r="T24" s="56">
        <v>1742507.6342384988</v>
      </c>
      <c r="U24" s="56">
        <v>1885187.2624323135</v>
      </c>
      <c r="V24" s="56">
        <v>1920708.0057208205</v>
      </c>
      <c r="W24" s="57">
        <v>2050222.0911429389</v>
      </c>
    </row>
    <row r="25" spans="1:23" ht="12.75" x14ac:dyDescent="0.2">
      <c r="A25" s="17"/>
      <c r="B25" s="30"/>
      <c r="C25" s="42"/>
      <c r="D25" s="63"/>
      <c r="E25" s="63"/>
      <c r="F25" s="63"/>
      <c r="G25" s="63"/>
      <c r="H25" s="63"/>
      <c r="I25" s="63"/>
      <c r="J25" s="63"/>
      <c r="K25" s="63"/>
      <c r="L25" s="63"/>
      <c r="M25" s="63"/>
      <c r="N25" s="63"/>
      <c r="O25" s="63"/>
      <c r="P25" s="63"/>
      <c r="Q25" s="63"/>
      <c r="R25" s="63"/>
      <c r="S25" s="63"/>
      <c r="T25" s="63"/>
      <c r="U25" s="63"/>
      <c r="V25" s="63"/>
      <c r="W25" s="63"/>
    </row>
    <row r="26" spans="1:23" ht="12.75" x14ac:dyDescent="0.2">
      <c r="A26" s="274" t="s">
        <v>222</v>
      </c>
    </row>
    <row r="27" spans="1:23" ht="15.75" x14ac:dyDescent="0.2">
      <c r="A27" s="40" t="s">
        <v>11</v>
      </c>
      <c r="B27" s="9" t="s">
        <v>12</v>
      </c>
      <c r="D27" s="41">
        <v>2014</v>
      </c>
      <c r="E27" s="41">
        <v>2015</v>
      </c>
      <c r="F27" s="41">
        <v>2016</v>
      </c>
      <c r="G27" s="41">
        <v>2017</v>
      </c>
      <c r="H27" s="41">
        <v>2018</v>
      </c>
      <c r="I27" s="41">
        <v>2019</v>
      </c>
      <c r="J27" s="41">
        <v>2020</v>
      </c>
      <c r="K27" s="41">
        <v>2021</v>
      </c>
      <c r="L27" s="41">
        <v>2022</v>
      </c>
      <c r="M27" s="41">
        <v>2023</v>
      </c>
      <c r="N27" s="41">
        <v>2024</v>
      </c>
      <c r="O27" s="41">
        <v>2025</v>
      </c>
      <c r="P27" s="41">
        <v>2026</v>
      </c>
      <c r="Q27" s="41">
        <v>2027</v>
      </c>
      <c r="R27" s="41">
        <v>2028</v>
      </c>
      <c r="S27" s="41">
        <v>2029</v>
      </c>
      <c r="T27" s="41">
        <v>2030</v>
      </c>
      <c r="U27" s="41">
        <v>2031</v>
      </c>
      <c r="V27" s="41">
        <v>2032</v>
      </c>
      <c r="W27" s="41">
        <v>2033</v>
      </c>
    </row>
    <row r="28" spans="1:23" ht="12.75" x14ac:dyDescent="0.2">
      <c r="A28" s="17" t="s">
        <v>5</v>
      </c>
      <c r="B28" s="30">
        <v>1243005.8596503173</v>
      </c>
      <c r="C28" s="42"/>
      <c r="D28" s="43">
        <v>216581.35867636107</v>
      </c>
      <c r="E28" s="44">
        <v>191865.53673892212</v>
      </c>
      <c r="F28" s="44">
        <v>169195.01154335029</v>
      </c>
      <c r="G28" s="44">
        <v>124972.60882951354</v>
      </c>
      <c r="H28" s="44">
        <v>97078.130321891746</v>
      </c>
      <c r="I28" s="44">
        <v>88017.572583709611</v>
      </c>
      <c r="J28" s="44">
        <v>120239.46785760508</v>
      </c>
      <c r="K28" s="44">
        <v>95731.933939819224</v>
      </c>
      <c r="L28" s="44">
        <v>44722.018760437029</v>
      </c>
      <c r="M28" s="44">
        <v>19739.434363357606</v>
      </c>
      <c r="N28" s="44">
        <v>27979.431729751639</v>
      </c>
      <c r="O28" s="44">
        <v>55116.230939514819</v>
      </c>
      <c r="P28" s="44">
        <v>114452.30853070086</v>
      </c>
      <c r="Q28" s="44">
        <v>78150.707037414424</v>
      </c>
      <c r="R28" s="44">
        <v>108717.54098461941</v>
      </c>
      <c r="S28" s="44">
        <v>115199.66916719079</v>
      </c>
      <c r="T28" s="44">
        <v>114003.11634109518</v>
      </c>
      <c r="U28" s="44">
        <v>162859.0537395475</v>
      </c>
      <c r="V28" s="44">
        <v>164423.03212734987</v>
      </c>
      <c r="W28" s="45">
        <v>164527.12930421415</v>
      </c>
    </row>
    <row r="29" spans="1:23" ht="12.75" x14ac:dyDescent="0.2">
      <c r="A29" s="17" t="s">
        <v>6</v>
      </c>
      <c r="B29" s="30">
        <v>0</v>
      </c>
      <c r="C29" s="42"/>
      <c r="D29" s="46">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47">
        <v>0</v>
      </c>
      <c r="W29" s="48">
        <v>0</v>
      </c>
    </row>
    <row r="30" spans="1:23" ht="12.75" x14ac:dyDescent="0.2">
      <c r="A30" s="17" t="s">
        <v>13</v>
      </c>
      <c r="B30" s="30">
        <v>3437539.1495211665</v>
      </c>
      <c r="C30" s="42"/>
      <c r="D30" s="46">
        <v>178227.56279952324</v>
      </c>
      <c r="E30" s="47">
        <v>188973.34371501132</v>
      </c>
      <c r="F30" s="47">
        <v>211114.77581362729</v>
      </c>
      <c r="G30" s="47">
        <v>258438.70768449194</v>
      </c>
      <c r="H30" s="47">
        <v>309328.00197103759</v>
      </c>
      <c r="I30" s="47">
        <v>330437.44260517904</v>
      </c>
      <c r="J30" s="47">
        <v>338316.84275099111</v>
      </c>
      <c r="K30" s="47">
        <v>353366.22000830498</v>
      </c>
      <c r="L30" s="47">
        <v>362411.00090103236</v>
      </c>
      <c r="M30" s="47">
        <v>371499.13806471217</v>
      </c>
      <c r="N30" s="47">
        <v>390086.63477098843</v>
      </c>
      <c r="O30" s="47">
        <v>406100.44637255103</v>
      </c>
      <c r="P30" s="47">
        <v>420054.93158884853</v>
      </c>
      <c r="Q30" s="47">
        <v>437197.13199035457</v>
      </c>
      <c r="R30" s="47">
        <v>453485.73614249658</v>
      </c>
      <c r="S30" s="47">
        <v>461420.26671207114</v>
      </c>
      <c r="T30" s="47">
        <v>475444.00696082902</v>
      </c>
      <c r="U30" s="47">
        <v>516761.51206621836</v>
      </c>
      <c r="V30" s="47">
        <v>529052.15846199472</v>
      </c>
      <c r="W30" s="48">
        <v>542498.59484466421</v>
      </c>
    </row>
    <row r="31" spans="1:23" ht="12.75" x14ac:dyDescent="0.2">
      <c r="A31" s="11" t="s">
        <v>14</v>
      </c>
      <c r="B31" s="30">
        <v>0</v>
      </c>
      <c r="C31" s="42"/>
      <c r="D31" s="46">
        <v>0</v>
      </c>
      <c r="E31" s="47">
        <v>0</v>
      </c>
      <c r="F31" s="47">
        <v>0</v>
      </c>
      <c r="G31" s="47">
        <v>0</v>
      </c>
      <c r="H31" s="47">
        <v>0</v>
      </c>
      <c r="I31" s="47">
        <v>0</v>
      </c>
      <c r="J31" s="47">
        <v>0</v>
      </c>
      <c r="K31" s="47">
        <v>0</v>
      </c>
      <c r="L31" s="47">
        <v>0</v>
      </c>
      <c r="M31" s="47">
        <v>0</v>
      </c>
      <c r="N31" s="47">
        <v>0</v>
      </c>
      <c r="O31" s="47">
        <v>0</v>
      </c>
      <c r="P31" s="47">
        <v>0</v>
      </c>
      <c r="Q31" s="47">
        <v>0</v>
      </c>
      <c r="R31" s="47">
        <v>0</v>
      </c>
      <c r="S31" s="47">
        <v>0</v>
      </c>
      <c r="T31" s="47">
        <v>0</v>
      </c>
      <c r="U31" s="47">
        <v>0</v>
      </c>
      <c r="V31" s="47">
        <v>0</v>
      </c>
      <c r="W31" s="48">
        <v>0</v>
      </c>
    </row>
    <row r="32" spans="1:23" ht="12.75" x14ac:dyDescent="0.2">
      <c r="A32" s="17" t="s">
        <v>8</v>
      </c>
      <c r="B32" s="30">
        <v>3053146.6207557223</v>
      </c>
      <c r="C32" s="42"/>
      <c r="D32" s="46">
        <v>0</v>
      </c>
      <c r="E32" s="47">
        <v>0</v>
      </c>
      <c r="F32" s="47">
        <v>0</v>
      </c>
      <c r="G32" s="47">
        <v>0</v>
      </c>
      <c r="H32" s="47">
        <v>66814.116797946976</v>
      </c>
      <c r="I32" s="47">
        <v>70380.528749142206</v>
      </c>
      <c r="J32" s="47">
        <v>67010.753324399135</v>
      </c>
      <c r="K32" s="47">
        <v>71377.910062585404</v>
      </c>
      <c r="L32" s="47">
        <v>289285.0294544244</v>
      </c>
      <c r="M32" s="47">
        <v>362351.6803063096</v>
      </c>
      <c r="N32" s="47">
        <v>357216.46290880785</v>
      </c>
      <c r="O32" s="47">
        <v>441746.19739380339</v>
      </c>
      <c r="P32" s="47">
        <v>633484.69817213353</v>
      </c>
      <c r="Q32" s="47">
        <v>782434.58743025979</v>
      </c>
      <c r="R32" s="47">
        <v>787458.00036789197</v>
      </c>
      <c r="S32" s="47">
        <v>874762.60312165157</v>
      </c>
      <c r="T32" s="47">
        <v>1022683.4892010934</v>
      </c>
      <c r="U32" s="47">
        <v>1023641.2866166335</v>
      </c>
      <c r="V32" s="47">
        <v>1108838.176222238</v>
      </c>
      <c r="W32" s="48">
        <v>1218866.466511375</v>
      </c>
    </row>
    <row r="33" spans="1:23" ht="12.75" x14ac:dyDescent="0.2">
      <c r="A33" s="17" t="s">
        <v>4</v>
      </c>
      <c r="B33" s="30">
        <v>-18357.357658336405</v>
      </c>
      <c r="C33" s="42"/>
      <c r="D33" s="49">
        <v>-5148.4477989102234</v>
      </c>
      <c r="E33" s="50">
        <v>-1220.7722042561236</v>
      </c>
      <c r="F33" s="50">
        <v>-4929.9735603544968</v>
      </c>
      <c r="G33" s="50">
        <v>-3022.1699926038218</v>
      </c>
      <c r="H33" s="50">
        <v>0</v>
      </c>
      <c r="I33" s="50">
        <v>0</v>
      </c>
      <c r="J33" s="50">
        <v>0</v>
      </c>
      <c r="K33" s="50">
        <v>-908.66180257301914</v>
      </c>
      <c r="L33" s="50">
        <v>-1340.5856199465834</v>
      </c>
      <c r="M33" s="50">
        <v>-1343.493667020279</v>
      </c>
      <c r="N33" s="50">
        <v>-1194.5263015689341</v>
      </c>
      <c r="O33" s="50">
        <v>-693.64144758204111</v>
      </c>
      <c r="P33" s="50">
        <v>-190.48957063444709</v>
      </c>
      <c r="Q33" s="50">
        <v>-1350.5908266352003</v>
      </c>
      <c r="R33" s="50">
        <v>-965.24004762026846</v>
      </c>
      <c r="S33" s="50">
        <v>-278.92304059912499</v>
      </c>
      <c r="T33" s="50">
        <v>-2893.7625444030609</v>
      </c>
      <c r="U33" s="50">
        <v>-2380.9647614481637</v>
      </c>
      <c r="V33" s="50">
        <v>-1875.3006166231078</v>
      </c>
      <c r="W33" s="51">
        <v>-1098.9711296175617</v>
      </c>
    </row>
    <row r="34" spans="1:23" ht="12.75" x14ac:dyDescent="0.2">
      <c r="A34" s="17" t="s">
        <v>9</v>
      </c>
      <c r="B34" s="30">
        <v>1683817.0300550282</v>
      </c>
      <c r="C34" s="42"/>
      <c r="D34" s="52">
        <v>118953.84115064144</v>
      </c>
      <c r="E34" s="53">
        <v>111042.4986525774</v>
      </c>
      <c r="F34" s="53">
        <v>117807.83198028804</v>
      </c>
      <c r="G34" s="53">
        <v>136302.2709736824</v>
      </c>
      <c r="H34" s="53">
        <v>149846.23457318544</v>
      </c>
      <c r="I34" s="53">
        <v>176252.81240057945</v>
      </c>
      <c r="J34" s="53">
        <v>153123.66751891375</v>
      </c>
      <c r="K34" s="53">
        <v>179294.93586719036</v>
      </c>
      <c r="L34" s="53">
        <v>172643.72110557556</v>
      </c>
      <c r="M34" s="53">
        <v>180066.77784401178</v>
      </c>
      <c r="N34" s="53">
        <v>187311.3648685813</v>
      </c>
      <c r="O34" s="53">
        <v>190374.08940333128</v>
      </c>
      <c r="P34" s="53">
        <v>209476.70677530766</v>
      </c>
      <c r="Q34" s="53">
        <v>208115.71458274126</v>
      </c>
      <c r="R34" s="53">
        <v>220722.45346987247</v>
      </c>
      <c r="S34" s="53">
        <v>208830.08185565472</v>
      </c>
      <c r="T34" s="53">
        <v>202876.56613910198</v>
      </c>
      <c r="U34" s="53">
        <v>196572.17748200893</v>
      </c>
      <c r="V34" s="53">
        <v>194064.26637101173</v>
      </c>
      <c r="W34" s="54">
        <v>200493.89921879768</v>
      </c>
    </row>
    <row r="35" spans="1:23" ht="12.75" x14ac:dyDescent="0.2">
      <c r="A35" s="17" t="s">
        <v>15</v>
      </c>
      <c r="B35" s="30">
        <v>9399151.3023238983</v>
      </c>
      <c r="C35" s="42"/>
      <c r="D35" s="55">
        <v>508614.31482761551</v>
      </c>
      <c r="E35" s="56">
        <v>490660.60690225469</v>
      </c>
      <c r="F35" s="56">
        <v>493187.64577691111</v>
      </c>
      <c r="G35" s="56">
        <v>516691.41749508405</v>
      </c>
      <c r="H35" s="273">
        <v>623066.48366406176</v>
      </c>
      <c r="I35" s="56">
        <v>665088.35633861029</v>
      </c>
      <c r="J35" s="56">
        <v>678690.73145190906</v>
      </c>
      <c r="K35" s="56">
        <v>698862.33807532699</v>
      </c>
      <c r="L35" s="273">
        <v>867721.18460152275</v>
      </c>
      <c r="M35" s="56">
        <v>932313.53691137093</v>
      </c>
      <c r="N35" s="56">
        <v>961399.36797656026</v>
      </c>
      <c r="O35" s="56">
        <v>1092643.3226616185</v>
      </c>
      <c r="P35" s="56">
        <v>1377278.1554963561</v>
      </c>
      <c r="Q35" s="56">
        <v>1504547.5502141349</v>
      </c>
      <c r="R35" s="56">
        <v>1569418.4909172601</v>
      </c>
      <c r="S35" s="56">
        <v>1659933.6978159691</v>
      </c>
      <c r="T35" s="56">
        <v>1812113.4160977167</v>
      </c>
      <c r="U35" s="56">
        <v>1897453.0651429603</v>
      </c>
      <c r="V35" s="56">
        <v>1994502.3325659712</v>
      </c>
      <c r="W35" s="57">
        <v>2125287.1187494332</v>
      </c>
    </row>
    <row r="36" spans="1:23" ht="12.75" x14ac:dyDescent="0.2">
      <c r="A36" s="17"/>
      <c r="B36" s="30"/>
      <c r="C36" s="42"/>
      <c r="D36" s="63"/>
      <c r="E36" s="63"/>
      <c r="F36" s="63"/>
      <c r="G36" s="63"/>
      <c r="H36" s="63"/>
      <c r="I36" s="63"/>
      <c r="J36" s="63"/>
      <c r="K36" s="63"/>
      <c r="L36" s="63"/>
      <c r="M36" s="63"/>
      <c r="N36" s="63"/>
      <c r="O36" s="63"/>
      <c r="P36" s="63"/>
      <c r="Q36" s="63"/>
      <c r="R36" s="63"/>
      <c r="S36" s="63"/>
      <c r="T36" s="63"/>
      <c r="U36" s="63"/>
      <c r="V36" s="63"/>
      <c r="W36" s="63"/>
    </row>
    <row r="37" spans="1:23" ht="12.75" x14ac:dyDescent="0.2">
      <c r="A37" s="17" t="s">
        <v>223</v>
      </c>
      <c r="B37" s="30"/>
      <c r="C37" s="42"/>
      <c r="D37" s="63"/>
      <c r="E37" s="63"/>
      <c r="F37" s="63"/>
      <c r="G37" s="63"/>
      <c r="H37" s="63"/>
      <c r="I37" s="63"/>
      <c r="J37" s="63"/>
      <c r="K37" s="63"/>
      <c r="L37" s="63"/>
      <c r="M37" s="63"/>
      <c r="N37" s="63"/>
      <c r="O37" s="63"/>
      <c r="P37" s="63"/>
      <c r="Q37" s="63"/>
      <c r="R37" s="63"/>
      <c r="S37" s="63"/>
      <c r="T37" s="63"/>
      <c r="U37" s="63"/>
      <c r="V37" s="63"/>
      <c r="W37" s="63"/>
    </row>
    <row r="38" spans="1:23" ht="15.75" x14ac:dyDescent="0.2">
      <c r="A38" s="40" t="s">
        <v>11</v>
      </c>
      <c r="B38" s="26" t="s">
        <v>12</v>
      </c>
      <c r="D38" s="41">
        <v>2014</v>
      </c>
      <c r="E38" s="41">
        <v>2015</v>
      </c>
      <c r="F38" s="41">
        <v>2016</v>
      </c>
      <c r="G38" s="41">
        <v>2017</v>
      </c>
      <c r="H38" s="41">
        <v>2018</v>
      </c>
      <c r="I38" s="41">
        <v>2019</v>
      </c>
      <c r="J38" s="41">
        <v>2020</v>
      </c>
      <c r="K38" s="41">
        <v>2021</v>
      </c>
      <c r="L38" s="41">
        <v>2022</v>
      </c>
      <c r="M38" s="41">
        <v>2023</v>
      </c>
      <c r="N38" s="41">
        <v>2024</v>
      </c>
      <c r="O38" s="41">
        <v>2025</v>
      </c>
      <c r="P38" s="41">
        <v>2026</v>
      </c>
      <c r="Q38" s="41">
        <v>2027</v>
      </c>
      <c r="R38" s="41">
        <v>2028</v>
      </c>
      <c r="S38" s="41">
        <v>2029</v>
      </c>
      <c r="T38" s="41">
        <v>2030</v>
      </c>
      <c r="U38" s="41">
        <v>2031</v>
      </c>
      <c r="V38" s="41">
        <v>2032</v>
      </c>
      <c r="W38" s="41">
        <v>2033</v>
      </c>
    </row>
    <row r="39" spans="1:23" ht="12.75" x14ac:dyDescent="0.2">
      <c r="A39" s="17" t="s">
        <v>5</v>
      </c>
      <c r="B39" s="29">
        <f>+B17-B28</f>
        <v>-20869.692447369453</v>
      </c>
      <c r="C39" s="42"/>
      <c r="D39" s="43">
        <f>+D17-D28</f>
        <v>-9584.5625</v>
      </c>
      <c r="E39" s="43">
        <f t="shared" ref="E39:W39" si="0">+E17-E28</f>
        <v>-10125.4375</v>
      </c>
      <c r="F39" s="43">
        <f t="shared" si="0"/>
        <v>-10819.40625</v>
      </c>
      <c r="G39" s="43">
        <f t="shared" si="0"/>
        <v>-12418.625</v>
      </c>
      <c r="H39" s="43">
        <f t="shared" si="0"/>
        <v>10147.185546875</v>
      </c>
      <c r="I39" s="43">
        <f t="shared" si="0"/>
        <v>12771.714843750058</v>
      </c>
      <c r="J39" s="43">
        <f t="shared" si="0"/>
        <v>9704.9003906249418</v>
      </c>
      <c r="K39" s="43">
        <f t="shared" si="0"/>
        <v>-18348.78125</v>
      </c>
      <c r="L39" s="43">
        <f t="shared" si="0"/>
        <v>14005.056640624884</v>
      </c>
      <c r="M39" s="43">
        <f t="shared" si="0"/>
        <v>13511.0859375</v>
      </c>
      <c r="N39" s="43">
        <f t="shared" si="0"/>
        <v>-21096.88671875</v>
      </c>
      <c r="O39" s="43">
        <f t="shared" si="0"/>
        <v>14401.0859375</v>
      </c>
      <c r="P39" s="43">
        <f t="shared" si="0"/>
        <v>-25947.44140625</v>
      </c>
      <c r="Q39" s="43">
        <f t="shared" si="0"/>
        <v>18735.359374999884</v>
      </c>
      <c r="R39" s="43">
        <f t="shared" si="0"/>
        <v>-27306.6328125</v>
      </c>
      <c r="S39" s="43">
        <f t="shared" si="0"/>
        <v>15207.27734375</v>
      </c>
      <c r="T39" s="43">
        <f t="shared" si="0"/>
        <v>14301.74609375</v>
      </c>
      <c r="U39" s="43">
        <f t="shared" si="0"/>
        <v>-31463.31640625</v>
      </c>
      <c r="V39" s="43">
        <f t="shared" si="0"/>
        <v>13912.33984375</v>
      </c>
      <c r="W39" s="43">
        <f t="shared" si="0"/>
        <v>12428.16015625</v>
      </c>
    </row>
    <row r="40" spans="1:23" ht="12.75" x14ac:dyDescent="0.2">
      <c r="A40" s="17" t="s">
        <v>6</v>
      </c>
      <c r="B40" s="29">
        <f t="shared" ref="B40:B46" si="1">+B18-B29</f>
        <v>0</v>
      </c>
      <c r="C40" s="42"/>
      <c r="D40" s="46">
        <f t="shared" ref="D40:D46" si="2">+D18-D29</f>
        <v>0</v>
      </c>
      <c r="E40" s="46">
        <f t="shared" ref="E40:W40" si="3">+E18-E29</f>
        <v>0</v>
      </c>
      <c r="F40" s="46">
        <f t="shared" si="3"/>
        <v>0</v>
      </c>
      <c r="G40" s="46">
        <f t="shared" si="3"/>
        <v>0</v>
      </c>
      <c r="H40" s="46">
        <f t="shared" si="3"/>
        <v>0</v>
      </c>
      <c r="I40" s="46">
        <f t="shared" si="3"/>
        <v>0</v>
      </c>
      <c r="J40" s="46">
        <f t="shared" si="3"/>
        <v>0</v>
      </c>
      <c r="K40" s="46">
        <f t="shared" si="3"/>
        <v>0</v>
      </c>
      <c r="L40" s="46">
        <f t="shared" si="3"/>
        <v>0</v>
      </c>
      <c r="M40" s="46">
        <f t="shared" si="3"/>
        <v>0</v>
      </c>
      <c r="N40" s="46">
        <f t="shared" si="3"/>
        <v>0</v>
      </c>
      <c r="O40" s="46">
        <f t="shared" si="3"/>
        <v>0</v>
      </c>
      <c r="P40" s="46">
        <f t="shared" si="3"/>
        <v>0</v>
      </c>
      <c r="Q40" s="46">
        <f t="shared" si="3"/>
        <v>0</v>
      </c>
      <c r="R40" s="46">
        <f t="shared" si="3"/>
        <v>0</v>
      </c>
      <c r="S40" s="46">
        <f t="shared" si="3"/>
        <v>0</v>
      </c>
      <c r="T40" s="46">
        <f t="shared" si="3"/>
        <v>0</v>
      </c>
      <c r="U40" s="46">
        <f t="shared" si="3"/>
        <v>0</v>
      </c>
      <c r="V40" s="46">
        <f t="shared" si="3"/>
        <v>0</v>
      </c>
      <c r="W40" s="46">
        <f t="shared" si="3"/>
        <v>0</v>
      </c>
    </row>
    <row r="41" spans="1:23" ht="12.75" x14ac:dyDescent="0.2">
      <c r="A41" s="17" t="s">
        <v>13</v>
      </c>
      <c r="B41" s="29">
        <f t="shared" si="1"/>
        <v>0</v>
      </c>
      <c r="C41" s="42"/>
      <c r="D41" s="46">
        <f t="shared" si="2"/>
        <v>0</v>
      </c>
      <c r="E41" s="46">
        <f t="shared" ref="E41:W41" si="4">+E19-E30</f>
        <v>0</v>
      </c>
      <c r="F41" s="46">
        <f t="shared" si="4"/>
        <v>0</v>
      </c>
      <c r="G41" s="46">
        <f t="shared" si="4"/>
        <v>0</v>
      </c>
      <c r="H41" s="46">
        <f t="shared" si="4"/>
        <v>0</v>
      </c>
      <c r="I41" s="46">
        <f t="shared" si="4"/>
        <v>0</v>
      </c>
      <c r="J41" s="46">
        <f t="shared" si="4"/>
        <v>0</v>
      </c>
      <c r="K41" s="46">
        <f t="shared" si="4"/>
        <v>0</v>
      </c>
      <c r="L41" s="46">
        <f t="shared" si="4"/>
        <v>0</v>
      </c>
      <c r="M41" s="46">
        <f t="shared" si="4"/>
        <v>0</v>
      </c>
      <c r="N41" s="46">
        <f t="shared" si="4"/>
        <v>0</v>
      </c>
      <c r="O41" s="46">
        <f t="shared" si="4"/>
        <v>0</v>
      </c>
      <c r="P41" s="46">
        <f t="shared" si="4"/>
        <v>0</v>
      </c>
      <c r="Q41" s="46">
        <f t="shared" si="4"/>
        <v>0</v>
      </c>
      <c r="R41" s="46">
        <f t="shared" si="4"/>
        <v>0</v>
      </c>
      <c r="S41" s="46">
        <f t="shared" si="4"/>
        <v>0</v>
      </c>
      <c r="T41" s="46">
        <f t="shared" si="4"/>
        <v>0</v>
      </c>
      <c r="U41" s="46">
        <f t="shared" si="4"/>
        <v>0</v>
      </c>
      <c r="V41" s="46">
        <f t="shared" si="4"/>
        <v>0</v>
      </c>
      <c r="W41" s="46">
        <f t="shared" si="4"/>
        <v>0</v>
      </c>
    </row>
    <row r="42" spans="1:23" ht="12.75" x14ac:dyDescent="0.2">
      <c r="A42" s="11" t="s">
        <v>14</v>
      </c>
      <c r="B42" s="29">
        <f t="shared" si="1"/>
        <v>0</v>
      </c>
      <c r="C42" s="42"/>
      <c r="D42" s="46">
        <f t="shared" si="2"/>
        <v>0</v>
      </c>
      <c r="E42" s="46">
        <f t="shared" ref="E42:W42" si="5">+E20-E31</f>
        <v>0</v>
      </c>
      <c r="F42" s="46">
        <f t="shared" si="5"/>
        <v>0</v>
      </c>
      <c r="G42" s="46">
        <f t="shared" si="5"/>
        <v>0</v>
      </c>
      <c r="H42" s="46">
        <f t="shared" si="5"/>
        <v>0</v>
      </c>
      <c r="I42" s="46">
        <f t="shared" si="5"/>
        <v>0</v>
      </c>
      <c r="J42" s="46">
        <f t="shared" si="5"/>
        <v>0</v>
      </c>
      <c r="K42" s="46">
        <f t="shared" si="5"/>
        <v>0</v>
      </c>
      <c r="L42" s="46">
        <f t="shared" si="5"/>
        <v>0</v>
      </c>
      <c r="M42" s="46">
        <f t="shared" si="5"/>
        <v>0</v>
      </c>
      <c r="N42" s="46">
        <f t="shared" si="5"/>
        <v>0</v>
      </c>
      <c r="O42" s="46">
        <f t="shared" si="5"/>
        <v>0</v>
      </c>
      <c r="P42" s="46">
        <f t="shared" si="5"/>
        <v>0</v>
      </c>
      <c r="Q42" s="46">
        <f t="shared" si="5"/>
        <v>0</v>
      </c>
      <c r="R42" s="46">
        <f t="shared" si="5"/>
        <v>0</v>
      </c>
      <c r="S42" s="46">
        <f t="shared" si="5"/>
        <v>0</v>
      </c>
      <c r="T42" s="46">
        <f t="shared" si="5"/>
        <v>0</v>
      </c>
      <c r="U42" s="46">
        <f t="shared" si="5"/>
        <v>0</v>
      </c>
      <c r="V42" s="46">
        <f t="shared" si="5"/>
        <v>0</v>
      </c>
      <c r="W42" s="46">
        <f t="shared" si="5"/>
        <v>0</v>
      </c>
    </row>
    <row r="43" spans="1:23" ht="12.75" x14ac:dyDescent="0.2">
      <c r="A43" s="17" t="s">
        <v>8</v>
      </c>
      <c r="B43" s="29">
        <f t="shared" si="1"/>
        <v>-339193.36831986578</v>
      </c>
      <c r="C43" s="42"/>
      <c r="D43" s="46">
        <f t="shared" si="2"/>
        <v>0</v>
      </c>
      <c r="E43" s="46">
        <f t="shared" ref="E43:W43" si="6">+E21-E32</f>
        <v>0</v>
      </c>
      <c r="F43" s="46">
        <f t="shared" si="6"/>
        <v>0</v>
      </c>
      <c r="G43" s="46">
        <f t="shared" si="6"/>
        <v>0</v>
      </c>
      <c r="H43" s="46">
        <f t="shared" si="6"/>
        <v>-66814.116797946976</v>
      </c>
      <c r="I43" s="46">
        <f t="shared" si="6"/>
        <v>-70380.528749142206</v>
      </c>
      <c r="J43" s="46">
        <f t="shared" si="6"/>
        <v>-67010.753324399135</v>
      </c>
      <c r="K43" s="46">
        <f t="shared" si="6"/>
        <v>6534.1853241484641</v>
      </c>
      <c r="L43" s="46">
        <f t="shared" si="6"/>
        <v>-72867.375405382569</v>
      </c>
      <c r="M43" s="46">
        <f t="shared" si="6"/>
        <v>-72767.033067395911</v>
      </c>
      <c r="N43" s="46">
        <f t="shared" si="6"/>
        <v>10698.975765135314</v>
      </c>
      <c r="O43" s="46">
        <f t="shared" si="6"/>
        <v>-76118.880344757694</v>
      </c>
      <c r="P43" s="46">
        <f t="shared" si="6"/>
        <v>14589.927637131419</v>
      </c>
      <c r="Q43" s="46">
        <f t="shared" si="6"/>
        <v>-83499.60802584968</v>
      </c>
      <c r="R43" s="46">
        <f t="shared" si="6"/>
        <v>15173.003421684378</v>
      </c>
      <c r="S43" s="46">
        <f t="shared" si="6"/>
        <v>-83661.644177249051</v>
      </c>
      <c r="T43" s="46">
        <f t="shared" si="6"/>
        <v>-83351.720545670716</v>
      </c>
      <c r="U43" s="46">
        <f t="shared" si="6"/>
        <v>19777.302102832356</v>
      </c>
      <c r="V43" s="46">
        <f t="shared" si="6"/>
        <v>-87100.146862823749</v>
      </c>
      <c r="W43" s="46">
        <f t="shared" si="6"/>
        <v>-86858.230585520621</v>
      </c>
    </row>
    <row r="44" spans="1:23" ht="12.75" x14ac:dyDescent="0.2">
      <c r="A44" s="17" t="s">
        <v>4</v>
      </c>
      <c r="B44" s="29">
        <f t="shared" si="1"/>
        <v>-2941.7619696890106</v>
      </c>
      <c r="C44" s="42"/>
      <c r="D44" s="49">
        <f t="shared" si="2"/>
        <v>-13.539542309998978</v>
      </c>
      <c r="E44" s="49">
        <f t="shared" ref="E44:W44" si="7">+E22-E33</f>
        <v>-83.797922344500648</v>
      </c>
      <c r="F44" s="49">
        <f t="shared" si="7"/>
        <v>-87.303933227305606</v>
      </c>
      <c r="G44" s="49">
        <f t="shared" si="7"/>
        <v>-151.68652461289548</v>
      </c>
      <c r="H44" s="49">
        <f t="shared" si="7"/>
        <v>0</v>
      </c>
      <c r="I44" s="49">
        <f t="shared" si="7"/>
        <v>0</v>
      </c>
      <c r="J44" s="49">
        <f t="shared" si="7"/>
        <v>0</v>
      </c>
      <c r="K44" s="49">
        <f t="shared" si="7"/>
        <v>-975.18422732476154</v>
      </c>
      <c r="L44" s="49">
        <f t="shared" si="7"/>
        <v>-404.89096571038272</v>
      </c>
      <c r="M44" s="49">
        <f t="shared" si="7"/>
        <v>-416.16360674906264</v>
      </c>
      <c r="N44" s="49">
        <f t="shared" si="7"/>
        <v>-429.71608507957626</v>
      </c>
      <c r="O44" s="49">
        <f t="shared" si="7"/>
        <v>-445.72576044164862</v>
      </c>
      <c r="P44" s="49">
        <f t="shared" si="7"/>
        <v>-464.34779720553445</v>
      </c>
      <c r="Q44" s="49">
        <f t="shared" si="7"/>
        <v>-484.93665511238555</v>
      </c>
      <c r="R44" s="49">
        <f t="shared" si="7"/>
        <v>-507.49784189700461</v>
      </c>
      <c r="S44" s="49">
        <f t="shared" si="7"/>
        <v>-531.8123523222057</v>
      </c>
      <c r="T44" s="49">
        <f t="shared" si="7"/>
        <v>-555.80740729692388</v>
      </c>
      <c r="U44" s="49">
        <f t="shared" si="7"/>
        <v>-579.78840722892801</v>
      </c>
      <c r="V44" s="49">
        <f t="shared" si="7"/>
        <v>-606.51982607692594</v>
      </c>
      <c r="W44" s="49">
        <f t="shared" si="7"/>
        <v>-634.95717722405789</v>
      </c>
    </row>
    <row r="45" spans="1:23" ht="12.75" x14ac:dyDescent="0.2">
      <c r="A45" s="17" t="s">
        <v>9</v>
      </c>
      <c r="B45" s="29">
        <f t="shared" si="1"/>
        <v>0</v>
      </c>
      <c r="C45" s="42"/>
      <c r="D45" s="52">
        <f t="shared" si="2"/>
        <v>0</v>
      </c>
      <c r="E45" s="52">
        <f t="shared" ref="E45:W45" si="8">+E23-E34</f>
        <v>0</v>
      </c>
      <c r="F45" s="52">
        <f t="shared" si="8"/>
        <v>0</v>
      </c>
      <c r="G45" s="52">
        <f t="shared" si="8"/>
        <v>0</v>
      </c>
      <c r="H45" s="52">
        <f t="shared" si="8"/>
        <v>0</v>
      </c>
      <c r="I45" s="52">
        <f t="shared" si="8"/>
        <v>0</v>
      </c>
      <c r="J45" s="52">
        <f t="shared" si="8"/>
        <v>0</v>
      </c>
      <c r="K45" s="52">
        <f t="shared" si="8"/>
        <v>0</v>
      </c>
      <c r="L45" s="52">
        <f t="shared" si="8"/>
        <v>0</v>
      </c>
      <c r="M45" s="52">
        <f t="shared" si="8"/>
        <v>0</v>
      </c>
      <c r="N45" s="52">
        <f t="shared" si="8"/>
        <v>0</v>
      </c>
      <c r="O45" s="52">
        <f t="shared" si="8"/>
        <v>0</v>
      </c>
      <c r="P45" s="52">
        <f t="shared" si="8"/>
        <v>0</v>
      </c>
      <c r="Q45" s="52">
        <f t="shared" si="8"/>
        <v>0</v>
      </c>
      <c r="R45" s="52">
        <f t="shared" si="8"/>
        <v>0</v>
      </c>
      <c r="S45" s="52">
        <f t="shared" si="8"/>
        <v>0</v>
      </c>
      <c r="T45" s="52">
        <f t="shared" si="8"/>
        <v>0</v>
      </c>
      <c r="U45" s="52">
        <f t="shared" si="8"/>
        <v>0</v>
      </c>
      <c r="V45" s="52">
        <f t="shared" si="8"/>
        <v>0</v>
      </c>
      <c r="W45" s="52">
        <f t="shared" si="8"/>
        <v>0</v>
      </c>
    </row>
    <row r="46" spans="1:23" ht="12.75" x14ac:dyDescent="0.2">
      <c r="A46" s="17" t="s">
        <v>15</v>
      </c>
      <c r="B46" s="29">
        <f t="shared" si="1"/>
        <v>-363004.82273692451</v>
      </c>
      <c r="C46" s="42"/>
      <c r="D46" s="55">
        <f t="shared" si="2"/>
        <v>-9598.1020423099981</v>
      </c>
      <c r="E46" s="55">
        <f t="shared" ref="E46:W46" si="9">+E24-E35</f>
        <v>-10209.235422344471</v>
      </c>
      <c r="F46" s="55">
        <f t="shared" si="9"/>
        <v>-10906.710183227318</v>
      </c>
      <c r="G46" s="55">
        <f t="shared" si="9"/>
        <v>-12570.311524612887</v>
      </c>
      <c r="H46" s="55">
        <f t="shared" si="9"/>
        <v>-56666.931251071976</v>
      </c>
      <c r="I46" s="55">
        <f t="shared" si="9"/>
        <v>-57608.813905392191</v>
      </c>
      <c r="J46" s="55">
        <f t="shared" si="9"/>
        <v>-57305.852933774237</v>
      </c>
      <c r="K46" s="55">
        <f t="shared" si="9"/>
        <v>-12789.780153176282</v>
      </c>
      <c r="L46" s="55">
        <f t="shared" si="9"/>
        <v>-59267.209730468108</v>
      </c>
      <c r="M46" s="55">
        <f t="shared" si="9"/>
        <v>-59672.11073664506</v>
      </c>
      <c r="N46" s="55">
        <f t="shared" si="9"/>
        <v>-10827.627038694336</v>
      </c>
      <c r="O46" s="55">
        <f t="shared" si="9"/>
        <v>-62163.520167699317</v>
      </c>
      <c r="P46" s="55">
        <f t="shared" si="9"/>
        <v>-11821.86156632402</v>
      </c>
      <c r="Q46" s="55">
        <f t="shared" si="9"/>
        <v>-65249.185305962106</v>
      </c>
      <c r="R46" s="55">
        <f t="shared" si="9"/>
        <v>-12641.127232712694</v>
      </c>
      <c r="S46" s="55">
        <f t="shared" si="9"/>
        <v>-68986.179185821442</v>
      </c>
      <c r="T46" s="55">
        <f t="shared" si="9"/>
        <v>-69605.78185921791</v>
      </c>
      <c r="U46" s="55">
        <f t="shared" si="9"/>
        <v>-12265.802710646763</v>
      </c>
      <c r="V46" s="55">
        <f t="shared" si="9"/>
        <v>-73794.326845150674</v>
      </c>
      <c r="W46" s="55">
        <f t="shared" si="9"/>
        <v>-75065.027606494259</v>
      </c>
    </row>
    <row r="47" spans="1:23" ht="12.75" x14ac:dyDescent="0.2">
      <c r="B47" s="26"/>
      <c r="D47" s="63"/>
      <c r="E47" s="58"/>
    </row>
    <row r="48" spans="1:23" ht="12.75" x14ac:dyDescent="0.2">
      <c r="A48" s="59" t="s">
        <v>16</v>
      </c>
      <c r="D48" s="30"/>
      <c r="E48" s="58"/>
    </row>
    <row r="49" spans="1:25" ht="12.75" x14ac:dyDescent="0.2">
      <c r="A49" s="9" t="s">
        <v>17</v>
      </c>
      <c r="B49" s="60">
        <v>1369107.939525068</v>
      </c>
      <c r="C49" s="58" t="s">
        <v>18</v>
      </c>
      <c r="D49" s="9"/>
    </row>
    <row r="50" spans="1:25" ht="12.75" x14ac:dyDescent="0.2">
      <c r="A50" s="9" t="s">
        <v>19</v>
      </c>
      <c r="B50" s="60">
        <v>0</v>
      </c>
      <c r="C50" s="58"/>
      <c r="D50" s="9"/>
    </row>
    <row r="51" spans="1:25" ht="12.75" x14ac:dyDescent="0.2">
      <c r="A51" s="9" t="s">
        <v>20</v>
      </c>
      <c r="B51" s="60">
        <v>-91651.783039882343</v>
      </c>
      <c r="C51" s="58"/>
      <c r="D51" s="9"/>
    </row>
    <row r="52" spans="1:25" ht="12.75" x14ac:dyDescent="0.2">
      <c r="A52" s="9" t="s">
        <v>21</v>
      </c>
      <c r="B52" s="60">
        <v>1467895.4575329004</v>
      </c>
      <c r="C52" s="58" t="s">
        <v>22</v>
      </c>
      <c r="D52" s="9"/>
    </row>
    <row r="54" spans="1:25" x14ac:dyDescent="0.3">
      <c r="A54" s="9" t="s">
        <v>23</v>
      </c>
      <c r="B54" s="30">
        <v>11781498.09360506</v>
      </c>
      <c r="D54" s="9"/>
    </row>
    <row r="55" spans="1:25" s="26" customFormat="1" x14ac:dyDescent="0.3">
      <c r="D55" s="61"/>
      <c r="E55" s="61"/>
      <c r="F55" s="61"/>
      <c r="G55" s="61"/>
      <c r="H55" s="61"/>
      <c r="I55" s="61"/>
      <c r="J55" s="61"/>
      <c r="K55" s="61"/>
      <c r="L55" s="61"/>
      <c r="M55" s="61"/>
      <c r="N55" s="61"/>
      <c r="O55" s="61"/>
      <c r="P55" s="61"/>
      <c r="Q55" s="61"/>
      <c r="R55" s="61"/>
      <c r="S55" s="61"/>
    </row>
    <row r="56" spans="1:25" s="26" customFormat="1" x14ac:dyDescent="0.3">
      <c r="D56" s="37"/>
    </row>
    <row r="57" spans="1:25" s="26" customFormat="1" ht="25.8" x14ac:dyDescent="0.5">
      <c r="A57" s="161" t="s">
        <v>98</v>
      </c>
      <c r="D57" s="62"/>
      <c r="E57" s="62"/>
      <c r="F57" s="62"/>
      <c r="G57" s="62"/>
      <c r="H57" s="62"/>
      <c r="I57" s="62"/>
      <c r="J57" s="62"/>
      <c r="K57" s="62"/>
      <c r="L57" s="62"/>
      <c r="M57" s="62"/>
      <c r="N57" s="62"/>
      <c r="O57" s="62"/>
      <c r="P57" s="62"/>
      <c r="Q57" s="62"/>
      <c r="R57" s="62"/>
      <c r="S57" s="62"/>
      <c r="T57" s="62"/>
      <c r="U57" s="62"/>
      <c r="V57" s="62"/>
      <c r="W57" s="62"/>
    </row>
    <row r="58" spans="1:25" s="26" customFormat="1" ht="23.4" x14ac:dyDescent="0.45">
      <c r="A58" s="65" t="s">
        <v>0</v>
      </c>
      <c r="B58" s="66"/>
      <c r="C58" s="66"/>
      <c r="D58" s="66"/>
      <c r="E58" s="66"/>
      <c r="F58" s="66"/>
      <c r="G58" s="66"/>
      <c r="H58" s="66"/>
      <c r="I58" s="66"/>
      <c r="J58" s="66"/>
      <c r="K58" s="66"/>
      <c r="L58" s="66"/>
      <c r="M58" s="67"/>
      <c r="N58" s="66"/>
      <c r="O58" s="66"/>
      <c r="P58" s="66"/>
      <c r="Q58" s="66"/>
      <c r="R58" s="66"/>
      <c r="S58" s="66"/>
      <c r="T58" s="66"/>
      <c r="U58" s="66"/>
      <c r="V58" s="66"/>
    </row>
    <row r="59" spans="1:25" s="26" customFormat="1" ht="21" x14ac:dyDescent="0.4">
      <c r="A59" s="141" t="s">
        <v>1</v>
      </c>
      <c r="B59" s="68"/>
      <c r="C59" s="68"/>
      <c r="D59" s="68"/>
      <c r="E59" s="68"/>
      <c r="F59" s="68"/>
      <c r="G59" s="142"/>
      <c r="H59" s="142"/>
      <c r="I59" s="142"/>
      <c r="J59" s="142"/>
      <c r="K59" s="142"/>
      <c r="L59" s="142"/>
      <c r="M59" s="68"/>
      <c r="N59" s="68"/>
      <c r="O59" s="68"/>
      <c r="P59" s="68"/>
      <c r="Q59" s="68"/>
      <c r="R59" s="68"/>
      <c r="S59" s="68"/>
      <c r="T59" s="68"/>
      <c r="U59" s="68"/>
      <c r="V59" s="68"/>
      <c r="W59" s="63"/>
    </row>
    <row r="60" spans="1:25" s="26" customFormat="1" ht="15.6" x14ac:dyDescent="0.3">
      <c r="A60" s="69"/>
      <c r="B60" s="68"/>
      <c r="C60" s="68"/>
      <c r="D60" s="68"/>
      <c r="E60" s="68"/>
      <c r="F60" s="68"/>
      <c r="G60" s="173"/>
      <c r="H60" s="174"/>
      <c r="I60" s="174"/>
      <c r="J60" s="72"/>
      <c r="K60" s="142"/>
      <c r="L60" s="142"/>
      <c r="M60" s="68"/>
      <c r="N60" s="68"/>
      <c r="O60" s="68"/>
      <c r="P60" s="68"/>
      <c r="Q60" s="68"/>
      <c r="R60" s="68"/>
      <c r="S60" s="68"/>
      <c r="T60" s="68"/>
      <c r="U60" s="68"/>
      <c r="V60" s="68"/>
      <c r="W60" s="29"/>
    </row>
    <row r="61" spans="1:25" s="26" customFormat="1" ht="15.6" x14ac:dyDescent="0.3">
      <c r="A61" s="143" t="s">
        <v>24</v>
      </c>
      <c r="B61" s="144"/>
      <c r="C61" s="73"/>
      <c r="D61" s="74"/>
      <c r="E61" s="75"/>
      <c r="F61" s="73"/>
      <c r="G61" s="175"/>
      <c r="H61" s="174"/>
      <c r="I61" s="174"/>
      <c r="J61" s="76"/>
      <c r="K61" s="142"/>
      <c r="L61" s="142"/>
      <c r="M61" s="68"/>
      <c r="N61" s="68"/>
      <c r="O61" s="68"/>
      <c r="P61" s="68"/>
      <c r="Q61" s="68"/>
      <c r="R61" s="68"/>
      <c r="S61" s="68"/>
      <c r="T61" s="68"/>
      <c r="U61" s="68"/>
      <c r="V61" s="68"/>
      <c r="W61" s="29"/>
      <c r="X61" s="29"/>
      <c r="Y61" s="29"/>
    </row>
    <row r="62" spans="1:25" s="26" customFormat="1" ht="15.6" x14ac:dyDescent="0.3">
      <c r="A62" s="77">
        <v>11781498.09360506</v>
      </c>
      <c r="B62" s="75"/>
      <c r="C62" s="175"/>
      <c r="D62" s="79"/>
      <c r="E62" s="75"/>
      <c r="F62" s="175"/>
      <c r="G62" s="175"/>
      <c r="H62" s="174"/>
      <c r="I62" s="174"/>
      <c r="J62" s="142"/>
      <c r="K62" s="142"/>
      <c r="L62" s="142"/>
      <c r="M62" s="68"/>
      <c r="N62" s="68"/>
      <c r="O62" s="68"/>
      <c r="P62" s="68"/>
      <c r="Q62" s="68"/>
      <c r="R62" s="68"/>
      <c r="S62" s="68"/>
      <c r="T62" s="68"/>
      <c r="U62" s="68"/>
      <c r="V62" s="68"/>
      <c r="W62" s="63"/>
    </row>
    <row r="63" spans="1:25" s="26" customFormat="1" ht="15.6" x14ac:dyDescent="0.3">
      <c r="A63" s="69"/>
      <c r="B63" s="68"/>
      <c r="C63" s="68"/>
      <c r="D63" s="68"/>
      <c r="E63" s="68"/>
      <c r="F63" s="68"/>
      <c r="G63" s="175"/>
      <c r="H63" s="174"/>
      <c r="I63" s="174"/>
      <c r="J63" s="142"/>
      <c r="K63" s="142"/>
      <c r="L63" s="142"/>
      <c r="M63" s="68"/>
      <c r="N63" s="68"/>
      <c r="O63" s="68"/>
      <c r="P63" s="68"/>
      <c r="Q63" s="68"/>
      <c r="R63" s="68"/>
      <c r="S63" s="68"/>
      <c r="T63" s="68"/>
      <c r="U63" s="68"/>
      <c r="V63" s="68"/>
      <c r="W63" s="63"/>
    </row>
    <row r="64" spans="1:25" s="26" customFormat="1" ht="14.4" x14ac:dyDescent="0.3">
      <c r="A64" s="145" t="s">
        <v>25</v>
      </c>
      <c r="B64" s="80">
        <v>2014</v>
      </c>
      <c r="C64" s="80">
        <v>2015</v>
      </c>
      <c r="D64" s="80">
        <v>2016</v>
      </c>
      <c r="E64" s="80">
        <v>2017</v>
      </c>
      <c r="F64" s="80">
        <v>2018</v>
      </c>
      <c r="G64" s="80">
        <v>2019</v>
      </c>
      <c r="H64" s="80">
        <v>2020</v>
      </c>
      <c r="I64" s="80">
        <v>2021</v>
      </c>
      <c r="J64" s="80">
        <v>2022</v>
      </c>
      <c r="K64" s="80">
        <v>2023</v>
      </c>
      <c r="L64" s="80">
        <v>2024</v>
      </c>
      <c r="M64" s="80">
        <v>2025</v>
      </c>
      <c r="N64" s="80">
        <v>2026</v>
      </c>
      <c r="O64" s="80">
        <v>2027</v>
      </c>
      <c r="P64" s="80">
        <v>2028</v>
      </c>
      <c r="Q64" s="80">
        <v>2029</v>
      </c>
      <c r="R64" s="80">
        <v>2030</v>
      </c>
      <c r="S64" s="80">
        <v>2031</v>
      </c>
      <c r="T64" s="80">
        <v>2032</v>
      </c>
      <c r="U64" s="80">
        <v>2033</v>
      </c>
      <c r="V64" s="81" t="s">
        <v>26</v>
      </c>
      <c r="W64" s="63"/>
    </row>
    <row r="65" spans="1:23" s="26" customFormat="1" ht="14.4" x14ac:dyDescent="0.3">
      <c r="A65" s="146" t="s">
        <v>27</v>
      </c>
      <c r="B65" s="82">
        <v>0</v>
      </c>
      <c r="C65" s="83">
        <v>0</v>
      </c>
      <c r="D65" s="84">
        <v>0</v>
      </c>
      <c r="E65" s="84">
        <v>0</v>
      </c>
      <c r="F65" s="84">
        <v>0</v>
      </c>
      <c r="G65" s="84">
        <v>0</v>
      </c>
      <c r="H65" s="84">
        <v>0</v>
      </c>
      <c r="I65" s="84">
        <v>0</v>
      </c>
      <c r="J65" s="84">
        <v>0</v>
      </c>
      <c r="K65" s="84">
        <v>0</v>
      </c>
      <c r="L65" s="84">
        <v>0</v>
      </c>
      <c r="M65" s="84">
        <v>0</v>
      </c>
      <c r="N65" s="84">
        <v>0</v>
      </c>
      <c r="O65" s="84">
        <v>0</v>
      </c>
      <c r="P65" s="84">
        <v>0</v>
      </c>
      <c r="Q65" s="84">
        <v>0</v>
      </c>
      <c r="R65" s="84">
        <v>0</v>
      </c>
      <c r="S65" s="84">
        <v>0</v>
      </c>
      <c r="T65" s="84">
        <v>0</v>
      </c>
      <c r="U65" s="84">
        <v>0</v>
      </c>
      <c r="V65" s="85">
        <v>0</v>
      </c>
      <c r="W65" s="63"/>
    </row>
    <row r="66" spans="1:23" s="26" customFormat="1" ht="14.4" x14ac:dyDescent="0.3">
      <c r="A66" s="147" t="s">
        <v>28</v>
      </c>
      <c r="B66" s="86">
        <v>0</v>
      </c>
      <c r="C66" s="87">
        <v>0</v>
      </c>
      <c r="D66" s="88">
        <v>0</v>
      </c>
      <c r="E66" s="88">
        <v>0</v>
      </c>
      <c r="F66" s="88">
        <v>0</v>
      </c>
      <c r="G66" s="88">
        <v>0</v>
      </c>
      <c r="H66" s="88">
        <v>0</v>
      </c>
      <c r="I66" s="88">
        <v>0</v>
      </c>
      <c r="J66" s="88">
        <v>0</v>
      </c>
      <c r="K66" s="88">
        <v>0</v>
      </c>
      <c r="L66" s="88">
        <v>0</v>
      </c>
      <c r="M66" s="88">
        <v>0</v>
      </c>
      <c r="N66" s="88">
        <v>0</v>
      </c>
      <c r="O66" s="88">
        <v>0</v>
      </c>
      <c r="P66" s="88">
        <v>0</v>
      </c>
      <c r="Q66" s="88">
        <v>0</v>
      </c>
      <c r="R66" s="88">
        <v>0</v>
      </c>
      <c r="S66" s="88">
        <v>0</v>
      </c>
      <c r="T66" s="88">
        <v>0</v>
      </c>
      <c r="U66" s="88">
        <v>0</v>
      </c>
      <c r="V66" s="89">
        <v>0</v>
      </c>
      <c r="W66" s="63"/>
    </row>
    <row r="67" spans="1:23" s="26" customFormat="1" ht="14.4" x14ac:dyDescent="0.3">
      <c r="A67" s="147" t="s">
        <v>29</v>
      </c>
      <c r="B67" s="86">
        <v>0</v>
      </c>
      <c r="C67" s="87">
        <v>0</v>
      </c>
      <c r="D67" s="88">
        <v>0</v>
      </c>
      <c r="E67" s="88">
        <v>0</v>
      </c>
      <c r="F67" s="88">
        <v>0</v>
      </c>
      <c r="G67" s="88">
        <v>0</v>
      </c>
      <c r="H67" s="88">
        <v>0</v>
      </c>
      <c r="I67" s="88">
        <v>0</v>
      </c>
      <c r="J67" s="88">
        <v>3</v>
      </c>
      <c r="K67" s="88">
        <v>0</v>
      </c>
      <c r="L67" s="88">
        <v>0</v>
      </c>
      <c r="M67" s="88">
        <v>0</v>
      </c>
      <c r="N67" s="88">
        <v>0</v>
      </c>
      <c r="O67" s="88">
        <v>1</v>
      </c>
      <c r="P67" s="88">
        <v>0</v>
      </c>
      <c r="Q67" s="88">
        <v>0</v>
      </c>
      <c r="R67" s="88">
        <v>1</v>
      </c>
      <c r="S67" s="88">
        <v>0</v>
      </c>
      <c r="T67" s="88">
        <v>0</v>
      </c>
      <c r="U67" s="88">
        <v>0</v>
      </c>
      <c r="V67" s="89">
        <v>5</v>
      </c>
      <c r="W67" s="29"/>
    </row>
    <row r="68" spans="1:23" s="26" customFormat="1" ht="14.4" x14ac:dyDescent="0.3">
      <c r="A68" s="147" t="s">
        <v>30</v>
      </c>
      <c r="B68" s="90">
        <v>0</v>
      </c>
      <c r="C68" s="91">
        <v>0</v>
      </c>
      <c r="D68" s="87"/>
      <c r="E68" s="87"/>
      <c r="F68" s="87"/>
      <c r="G68" s="87"/>
      <c r="H68" s="87"/>
      <c r="I68" s="87"/>
      <c r="J68" s="87"/>
      <c r="K68" s="87"/>
      <c r="L68" s="87"/>
      <c r="M68" s="87"/>
      <c r="N68" s="87"/>
      <c r="O68" s="87"/>
      <c r="P68" s="87"/>
      <c r="Q68" s="87"/>
      <c r="R68" s="87"/>
      <c r="S68" s="87"/>
      <c r="T68" s="87"/>
      <c r="U68" s="87"/>
      <c r="V68" s="89">
        <v>0</v>
      </c>
    </row>
    <row r="69" spans="1:23" s="26" customFormat="1" ht="14.4" x14ac:dyDescent="0.3">
      <c r="A69" s="147" t="s">
        <v>31</v>
      </c>
      <c r="B69" s="86">
        <v>0</v>
      </c>
      <c r="C69" s="87">
        <v>0</v>
      </c>
      <c r="D69" s="92"/>
      <c r="E69" s="92"/>
      <c r="F69" s="92"/>
      <c r="G69" s="92"/>
      <c r="H69" s="92"/>
      <c r="I69" s="92"/>
      <c r="J69" s="92"/>
      <c r="K69" s="92"/>
      <c r="L69" s="92"/>
      <c r="M69" s="92"/>
      <c r="N69" s="92"/>
      <c r="O69" s="92"/>
      <c r="P69" s="92"/>
      <c r="Q69" s="92"/>
      <c r="R69" s="92"/>
      <c r="S69" s="92"/>
      <c r="T69" s="92"/>
      <c r="U69" s="93"/>
      <c r="V69" s="89">
        <v>0</v>
      </c>
      <c r="W69" s="64"/>
    </row>
    <row r="70" spans="1:23" s="26" customFormat="1" ht="14.4" x14ac:dyDescent="0.3">
      <c r="A70" s="147" t="s">
        <v>32</v>
      </c>
      <c r="B70" s="86">
        <v>0</v>
      </c>
      <c r="C70" s="87">
        <v>0</v>
      </c>
      <c r="D70" s="92"/>
      <c r="E70" s="92"/>
      <c r="F70" s="92"/>
      <c r="G70" s="92"/>
      <c r="H70" s="92"/>
      <c r="I70" s="92"/>
      <c r="J70" s="92"/>
      <c r="K70" s="92"/>
      <c r="L70" s="92"/>
      <c r="M70" s="92"/>
      <c r="N70" s="92"/>
      <c r="O70" s="92"/>
      <c r="P70" s="92"/>
      <c r="Q70" s="92"/>
      <c r="R70" s="92"/>
      <c r="S70" s="92"/>
      <c r="T70" s="92"/>
      <c r="U70" s="93"/>
      <c r="V70" s="89">
        <v>0</v>
      </c>
    </row>
    <row r="71" spans="1:23" s="26" customFormat="1" ht="14.4" x14ac:dyDescent="0.3">
      <c r="A71" s="147" t="s">
        <v>33</v>
      </c>
      <c r="B71" s="86">
        <v>0</v>
      </c>
      <c r="C71" s="87">
        <v>0</v>
      </c>
      <c r="D71" s="87"/>
      <c r="E71" s="87"/>
      <c r="F71" s="87"/>
      <c r="G71" s="87"/>
      <c r="H71" s="87"/>
      <c r="I71" s="87"/>
      <c r="J71" s="87"/>
      <c r="K71" s="87"/>
      <c r="L71" s="87"/>
      <c r="M71" s="87"/>
      <c r="N71" s="87"/>
      <c r="O71" s="87"/>
      <c r="P71" s="87"/>
      <c r="Q71" s="87"/>
      <c r="R71" s="87"/>
      <c r="S71" s="87"/>
      <c r="T71" s="87"/>
      <c r="U71" s="87"/>
      <c r="V71" s="89">
        <v>0</v>
      </c>
    </row>
    <row r="72" spans="1:23" s="26" customFormat="1" ht="14.4" x14ac:dyDescent="0.3">
      <c r="A72" s="147" t="s">
        <v>34</v>
      </c>
      <c r="B72" s="86">
        <v>0</v>
      </c>
      <c r="C72" s="87">
        <v>0</v>
      </c>
      <c r="D72" s="88">
        <v>0</v>
      </c>
      <c r="E72" s="88">
        <v>0</v>
      </c>
      <c r="F72" s="88">
        <v>0</v>
      </c>
      <c r="G72" s="88">
        <v>0</v>
      </c>
      <c r="H72" s="88">
        <v>0</v>
      </c>
      <c r="I72" s="88">
        <v>0</v>
      </c>
      <c r="J72" s="88">
        <v>0</v>
      </c>
      <c r="K72" s="88">
        <v>0</v>
      </c>
      <c r="L72" s="88">
        <v>0</v>
      </c>
      <c r="M72" s="88">
        <v>0</v>
      </c>
      <c r="N72" s="88">
        <v>0</v>
      </c>
      <c r="O72" s="88">
        <v>0</v>
      </c>
      <c r="P72" s="88">
        <v>0</v>
      </c>
      <c r="Q72" s="88">
        <v>0</v>
      </c>
      <c r="R72" s="88">
        <v>0</v>
      </c>
      <c r="S72" s="88">
        <v>0</v>
      </c>
      <c r="T72" s="88">
        <v>0</v>
      </c>
      <c r="U72" s="88">
        <v>0</v>
      </c>
      <c r="V72" s="89">
        <v>0</v>
      </c>
    </row>
    <row r="73" spans="1:23" s="26" customFormat="1" ht="14.4" x14ac:dyDescent="0.3">
      <c r="A73" s="147" t="s">
        <v>35</v>
      </c>
      <c r="B73" s="86">
        <v>0</v>
      </c>
      <c r="C73" s="87">
        <v>0</v>
      </c>
      <c r="D73" s="88">
        <v>0</v>
      </c>
      <c r="E73" s="88">
        <v>0</v>
      </c>
      <c r="F73" s="88">
        <v>0</v>
      </c>
      <c r="G73" s="88">
        <v>0</v>
      </c>
      <c r="H73" s="88">
        <v>0</v>
      </c>
      <c r="I73" s="88">
        <v>1</v>
      </c>
      <c r="J73" s="88">
        <v>0</v>
      </c>
      <c r="K73" s="88">
        <v>1</v>
      </c>
      <c r="L73" s="88">
        <v>1</v>
      </c>
      <c r="M73" s="88">
        <v>0</v>
      </c>
      <c r="N73" s="88">
        <v>3</v>
      </c>
      <c r="O73" s="88">
        <v>0</v>
      </c>
      <c r="P73" s="88">
        <v>1</v>
      </c>
      <c r="Q73" s="88">
        <v>0</v>
      </c>
      <c r="R73" s="88">
        <v>1</v>
      </c>
      <c r="S73" s="88">
        <v>1</v>
      </c>
      <c r="T73" s="88">
        <v>0</v>
      </c>
      <c r="U73" s="88">
        <v>1</v>
      </c>
      <c r="V73" s="89">
        <v>10</v>
      </c>
    </row>
    <row r="74" spans="1:23" s="26" customFormat="1" ht="14.4" x14ac:dyDescent="0.3">
      <c r="A74" s="147" t="s">
        <v>36</v>
      </c>
      <c r="B74" s="94">
        <v>0</v>
      </c>
      <c r="C74" s="95">
        <v>0</v>
      </c>
      <c r="D74" s="96"/>
      <c r="E74" s="96"/>
      <c r="F74" s="96"/>
      <c r="G74" s="96"/>
      <c r="H74" s="96"/>
      <c r="I74" s="96"/>
      <c r="J74" s="96"/>
      <c r="K74" s="96"/>
      <c r="L74" s="96"/>
      <c r="M74" s="96"/>
      <c r="N74" s="96"/>
      <c r="O74" s="96"/>
      <c r="P74" s="96"/>
      <c r="Q74" s="96"/>
      <c r="R74" s="96"/>
      <c r="S74" s="96"/>
      <c r="T74" s="96"/>
      <c r="U74" s="96"/>
      <c r="V74" s="97">
        <v>0</v>
      </c>
    </row>
    <row r="75" spans="1:23" s="26" customFormat="1" ht="14.4" x14ac:dyDescent="0.3">
      <c r="A75" s="148"/>
      <c r="B75" s="98"/>
      <c r="C75" s="98"/>
      <c r="D75" s="99"/>
      <c r="E75" s="99"/>
      <c r="F75" s="99"/>
      <c r="G75" s="99"/>
      <c r="H75" s="99"/>
      <c r="I75" s="99"/>
      <c r="J75" s="99"/>
      <c r="K75" s="99"/>
      <c r="L75" s="99"/>
      <c r="M75" s="99"/>
      <c r="N75" s="99"/>
      <c r="O75" s="99"/>
      <c r="P75" s="99"/>
      <c r="Q75" s="99"/>
      <c r="R75" s="99"/>
      <c r="S75" s="99"/>
      <c r="T75" s="99"/>
      <c r="U75" s="99"/>
      <c r="V75" s="100"/>
    </row>
    <row r="76" spans="1:23" s="26" customFormat="1" ht="14.4" x14ac:dyDescent="0.3">
      <c r="A76" s="145" t="s">
        <v>37</v>
      </c>
      <c r="B76" s="98"/>
      <c r="C76" s="98"/>
      <c r="D76" s="99"/>
      <c r="E76" s="101"/>
      <c r="F76" s="145" t="s">
        <v>37</v>
      </c>
      <c r="G76" s="99"/>
      <c r="H76" s="99"/>
      <c r="I76" s="99"/>
      <c r="J76" s="99"/>
      <c r="K76" s="99"/>
      <c r="L76" s="101"/>
      <c r="M76" s="101"/>
      <c r="N76" s="149" t="s">
        <v>38</v>
      </c>
      <c r="O76" s="99"/>
      <c r="P76" s="99"/>
      <c r="Q76" s="99"/>
      <c r="R76" s="99"/>
      <c r="S76" s="99"/>
      <c r="T76" s="149" t="s">
        <v>39</v>
      </c>
      <c r="U76" s="99"/>
      <c r="V76" s="100"/>
      <c r="W76" s="63"/>
    </row>
    <row r="77" spans="1:23" s="26" customFormat="1" ht="14.4" x14ac:dyDescent="0.3">
      <c r="A77" s="150" t="s">
        <v>121</v>
      </c>
      <c r="B77" s="102"/>
      <c r="C77" s="103">
        <v>0</v>
      </c>
      <c r="D77" s="104"/>
      <c r="E77" s="101"/>
      <c r="F77" s="150" t="s">
        <v>119</v>
      </c>
      <c r="G77" s="105"/>
      <c r="H77" s="106"/>
      <c r="I77" s="106"/>
      <c r="J77" s="107"/>
      <c r="K77" s="108">
        <v>1</v>
      </c>
      <c r="L77" s="101"/>
      <c r="M77" s="101"/>
      <c r="N77" s="151" t="s">
        <v>63</v>
      </c>
      <c r="O77" s="109"/>
      <c r="P77" s="110"/>
      <c r="Q77" s="111"/>
      <c r="R77" s="112">
        <v>1</v>
      </c>
      <c r="S77" s="113" t="s">
        <v>40</v>
      </c>
      <c r="T77" s="151" t="s">
        <v>41</v>
      </c>
      <c r="U77" s="112">
        <v>0</v>
      </c>
      <c r="V77" s="101"/>
      <c r="W77" s="63"/>
    </row>
    <row r="78" spans="1:23" s="26" customFormat="1" ht="14.4" x14ac:dyDescent="0.3">
      <c r="A78" s="152" t="s">
        <v>64</v>
      </c>
      <c r="B78" s="114"/>
      <c r="C78" s="115">
        <v>0</v>
      </c>
      <c r="D78" s="104"/>
      <c r="E78" s="101"/>
      <c r="F78" s="152" t="s">
        <v>122</v>
      </c>
      <c r="G78" s="116"/>
      <c r="H78" s="153"/>
      <c r="I78" s="153"/>
      <c r="J78" s="117"/>
      <c r="K78" s="115">
        <v>0</v>
      </c>
      <c r="L78" s="101"/>
      <c r="M78" s="101"/>
      <c r="N78" s="154" t="s">
        <v>66</v>
      </c>
      <c r="O78" s="118"/>
      <c r="P78" s="119"/>
      <c r="Q78" s="120"/>
      <c r="R78" s="121"/>
      <c r="S78" s="113" t="s">
        <v>42</v>
      </c>
      <c r="T78" s="154" t="s">
        <v>43</v>
      </c>
      <c r="U78" s="121">
        <v>0</v>
      </c>
      <c r="V78" s="101"/>
    </row>
    <row r="79" spans="1:23" s="26" customFormat="1" ht="14.4" x14ac:dyDescent="0.3">
      <c r="A79" s="152" t="s">
        <v>67</v>
      </c>
      <c r="B79" s="114"/>
      <c r="C79" s="115">
        <v>0</v>
      </c>
      <c r="D79" s="104"/>
      <c r="E79" s="101"/>
      <c r="F79" s="152" t="s">
        <v>123</v>
      </c>
      <c r="G79" s="116"/>
      <c r="H79" s="122"/>
      <c r="I79" s="122"/>
      <c r="J79" s="117"/>
      <c r="K79" s="115">
        <v>0</v>
      </c>
      <c r="L79" s="101"/>
      <c r="M79" s="101"/>
      <c r="N79" s="154" t="s">
        <v>69</v>
      </c>
      <c r="O79" s="118"/>
      <c r="P79" s="119"/>
      <c r="Q79" s="120"/>
      <c r="R79" s="121"/>
      <c r="S79" s="113" t="s">
        <v>44</v>
      </c>
      <c r="T79" s="154" t="s">
        <v>45</v>
      </c>
      <c r="U79" s="121">
        <v>0</v>
      </c>
      <c r="V79" s="101"/>
      <c r="W79" s="62"/>
    </row>
    <row r="80" spans="1:23" s="26" customFormat="1" ht="14.4" x14ac:dyDescent="0.3">
      <c r="A80" s="152" t="s">
        <v>70</v>
      </c>
      <c r="B80" s="114"/>
      <c r="C80" s="115">
        <v>0</v>
      </c>
      <c r="D80" s="104"/>
      <c r="E80" s="101"/>
      <c r="F80" s="152" t="s">
        <v>124</v>
      </c>
      <c r="G80" s="116"/>
      <c r="H80" s="122"/>
      <c r="I80" s="122"/>
      <c r="J80" s="117"/>
      <c r="K80" s="115">
        <v>0</v>
      </c>
      <c r="L80" s="101"/>
      <c r="M80" s="101"/>
      <c r="N80" s="154" t="s">
        <v>72</v>
      </c>
      <c r="O80" s="118"/>
      <c r="P80" s="119"/>
      <c r="Q80" s="120"/>
      <c r="R80" s="121"/>
      <c r="S80" s="113" t="s">
        <v>46</v>
      </c>
      <c r="T80" s="154" t="s">
        <v>47</v>
      </c>
      <c r="U80" s="121">
        <v>0</v>
      </c>
      <c r="V80" s="101"/>
    </row>
    <row r="81" spans="1:22" s="26" customFormat="1" ht="14.4" x14ac:dyDescent="0.3">
      <c r="A81" s="155" t="s">
        <v>73</v>
      </c>
      <c r="B81" s="123"/>
      <c r="C81" s="124">
        <v>0</v>
      </c>
      <c r="D81" s="104"/>
      <c r="E81" s="101"/>
      <c r="F81" s="152" t="s">
        <v>74</v>
      </c>
      <c r="G81" s="116"/>
      <c r="H81" s="122"/>
      <c r="I81" s="122"/>
      <c r="J81" s="117"/>
      <c r="K81" s="115">
        <v>0</v>
      </c>
      <c r="L81" s="101"/>
      <c r="M81" s="101"/>
      <c r="N81" s="154" t="s">
        <v>75</v>
      </c>
      <c r="O81" s="118"/>
      <c r="P81" s="119"/>
      <c r="Q81" s="120"/>
      <c r="R81" s="121"/>
      <c r="S81" s="113" t="s">
        <v>48</v>
      </c>
      <c r="T81" s="156" t="s">
        <v>49</v>
      </c>
      <c r="U81" s="125">
        <v>0</v>
      </c>
      <c r="V81" s="126"/>
    </row>
    <row r="82" spans="1:22" s="26" customFormat="1" ht="14.4" x14ac:dyDescent="0.3">
      <c r="A82" s="150" t="s">
        <v>76</v>
      </c>
      <c r="B82" s="102"/>
      <c r="C82" s="127">
        <v>0</v>
      </c>
      <c r="D82" s="104"/>
      <c r="E82" s="101"/>
      <c r="F82" s="152" t="s">
        <v>77</v>
      </c>
      <c r="G82" s="116"/>
      <c r="H82" s="122"/>
      <c r="I82" s="122"/>
      <c r="J82" s="117"/>
      <c r="K82" s="115">
        <v>0</v>
      </c>
      <c r="L82" s="101"/>
      <c r="M82" s="101"/>
      <c r="N82" s="154" t="s">
        <v>78</v>
      </c>
      <c r="O82" s="118"/>
      <c r="P82" s="119"/>
      <c r="Q82" s="120"/>
      <c r="R82" s="121">
        <v>0</v>
      </c>
      <c r="S82" s="113" t="s">
        <v>50</v>
      </c>
      <c r="T82" s="126"/>
      <c r="U82" s="126"/>
      <c r="V82" s="126"/>
    </row>
    <row r="83" spans="1:22" s="26" customFormat="1" ht="15.6" x14ac:dyDescent="0.3">
      <c r="A83" s="152" t="s">
        <v>79</v>
      </c>
      <c r="B83" s="114"/>
      <c r="C83" s="115">
        <v>0</v>
      </c>
      <c r="D83" s="104"/>
      <c r="E83" s="101"/>
      <c r="F83" s="152" t="s">
        <v>80</v>
      </c>
      <c r="G83" s="116"/>
      <c r="H83" s="122"/>
      <c r="I83" s="122"/>
      <c r="J83" s="117"/>
      <c r="K83" s="115">
        <v>0</v>
      </c>
      <c r="L83" s="101"/>
      <c r="M83" s="101"/>
      <c r="N83" s="154" t="s">
        <v>81</v>
      </c>
      <c r="O83" s="118"/>
      <c r="P83" s="119"/>
      <c r="Q83" s="120"/>
      <c r="R83" s="121">
        <v>0</v>
      </c>
      <c r="S83" s="113" t="s">
        <v>51</v>
      </c>
      <c r="T83" s="126"/>
      <c r="U83" s="329"/>
      <c r="V83" s="329"/>
    </row>
    <row r="84" spans="1:22" ht="14.4" x14ac:dyDescent="0.3">
      <c r="A84" s="152" t="s">
        <v>82</v>
      </c>
      <c r="B84" s="114"/>
      <c r="C84" s="115">
        <v>0</v>
      </c>
      <c r="D84" s="104"/>
      <c r="E84" s="101"/>
      <c r="F84" s="152" t="s">
        <v>83</v>
      </c>
      <c r="G84" s="116"/>
      <c r="H84" s="122"/>
      <c r="I84" s="122"/>
      <c r="J84" s="117"/>
      <c r="K84" s="115">
        <v>0</v>
      </c>
      <c r="L84" s="101"/>
      <c r="M84" s="101"/>
      <c r="N84" s="154" t="s">
        <v>84</v>
      </c>
      <c r="O84" s="118"/>
      <c r="P84" s="119"/>
      <c r="Q84" s="120"/>
      <c r="R84" s="121">
        <v>0</v>
      </c>
      <c r="S84" s="113" t="s">
        <v>52</v>
      </c>
      <c r="T84" s="99"/>
      <c r="U84" s="99"/>
      <c r="V84" s="101"/>
    </row>
    <row r="85" spans="1:22" ht="14.4" x14ac:dyDescent="0.3">
      <c r="A85" s="152" t="s">
        <v>85</v>
      </c>
      <c r="B85" s="114"/>
      <c r="C85" s="115">
        <v>0</v>
      </c>
      <c r="D85" s="104"/>
      <c r="E85" s="101"/>
      <c r="F85" s="152" t="s">
        <v>86</v>
      </c>
      <c r="G85" s="116"/>
      <c r="H85" s="122"/>
      <c r="I85" s="122"/>
      <c r="J85" s="117"/>
      <c r="K85" s="115">
        <v>0</v>
      </c>
      <c r="L85" s="101"/>
      <c r="M85" s="101"/>
      <c r="N85" s="154" t="s">
        <v>87</v>
      </c>
      <c r="O85" s="118"/>
      <c r="P85" s="119"/>
      <c r="Q85" s="120"/>
      <c r="R85" s="121">
        <v>0</v>
      </c>
      <c r="S85" s="113" t="s">
        <v>53</v>
      </c>
      <c r="T85" s="99"/>
      <c r="U85" s="99"/>
      <c r="V85" s="101"/>
    </row>
    <row r="86" spans="1:22" ht="14.4" x14ac:dyDescent="0.3">
      <c r="A86" s="155" t="s">
        <v>88</v>
      </c>
      <c r="B86" s="123"/>
      <c r="C86" s="124">
        <v>0</v>
      </c>
      <c r="D86" s="104"/>
      <c r="E86" s="101"/>
      <c r="F86" s="155" t="s">
        <v>89</v>
      </c>
      <c r="G86" s="128"/>
      <c r="H86" s="129"/>
      <c r="I86" s="129"/>
      <c r="J86" s="130"/>
      <c r="K86" s="131">
        <v>0</v>
      </c>
      <c r="L86" s="101"/>
      <c r="M86" s="101"/>
      <c r="N86" s="156" t="s">
        <v>90</v>
      </c>
      <c r="O86" s="132"/>
      <c r="P86" s="133"/>
      <c r="Q86" s="134"/>
      <c r="R86" s="125">
        <v>0</v>
      </c>
      <c r="S86" s="113" t="s">
        <v>54</v>
      </c>
      <c r="T86" s="99"/>
      <c r="U86" s="99"/>
      <c r="V86" s="101"/>
    </row>
    <row r="87" spans="1:22" ht="14.4" x14ac:dyDescent="0.3">
      <c r="A87" s="150" t="s">
        <v>109</v>
      </c>
      <c r="B87" s="135"/>
      <c r="C87" s="108">
        <v>1</v>
      </c>
      <c r="D87" s="104"/>
      <c r="E87" s="101"/>
      <c r="F87" s="150" t="s">
        <v>125</v>
      </c>
      <c r="G87" s="102"/>
      <c r="H87" s="106"/>
      <c r="I87" s="106"/>
      <c r="J87" s="135"/>
      <c r="K87" s="103"/>
      <c r="L87" s="176"/>
      <c r="M87" s="101"/>
      <c r="N87" s="157" t="s">
        <v>55</v>
      </c>
      <c r="O87" s="132"/>
      <c r="P87" s="133"/>
      <c r="Q87" s="134"/>
      <c r="R87" s="125">
        <v>1</v>
      </c>
      <c r="S87" s="99"/>
      <c r="T87" s="99"/>
      <c r="U87" s="99"/>
      <c r="V87" s="158"/>
    </row>
    <row r="88" spans="1:22" ht="14.4" x14ac:dyDescent="0.3">
      <c r="A88" s="152" t="s">
        <v>110</v>
      </c>
      <c r="B88" s="159"/>
      <c r="C88" s="115">
        <v>1</v>
      </c>
      <c r="D88" s="104"/>
      <c r="E88" s="158"/>
      <c r="F88" s="152" t="s">
        <v>126</v>
      </c>
      <c r="G88" s="114"/>
      <c r="H88" s="153"/>
      <c r="I88" s="153"/>
      <c r="J88" s="159"/>
      <c r="K88" s="115"/>
      <c r="L88" s="177"/>
      <c r="M88" s="158"/>
      <c r="N88" s="99"/>
      <c r="O88" s="99"/>
      <c r="P88" s="99"/>
      <c r="Q88" s="101"/>
      <c r="R88" s="158"/>
      <c r="S88" s="99"/>
      <c r="T88" s="99"/>
      <c r="U88" s="99"/>
      <c r="V88" s="101"/>
    </row>
    <row r="89" spans="1:22" ht="14.4" x14ac:dyDescent="0.3">
      <c r="A89" s="152" t="s">
        <v>111</v>
      </c>
      <c r="B89" s="136"/>
      <c r="C89" s="115">
        <v>1</v>
      </c>
      <c r="D89" s="104"/>
      <c r="E89" s="101"/>
      <c r="F89" s="152" t="s">
        <v>127</v>
      </c>
      <c r="G89" s="114"/>
      <c r="H89" s="122"/>
      <c r="I89" s="122"/>
      <c r="J89" s="136"/>
      <c r="K89" s="115"/>
      <c r="L89" s="176"/>
      <c r="M89" s="101"/>
      <c r="N89" s="137" t="s">
        <v>56</v>
      </c>
      <c r="O89" s="101"/>
      <c r="P89" s="101"/>
      <c r="Q89" s="101"/>
      <c r="R89" s="101"/>
      <c r="S89" s="99"/>
      <c r="T89" s="99"/>
      <c r="U89" s="99"/>
      <c r="V89" s="101"/>
    </row>
    <row r="90" spans="1:22" ht="14.4" x14ac:dyDescent="0.3">
      <c r="A90" s="152" t="s">
        <v>112</v>
      </c>
      <c r="B90" s="136"/>
      <c r="C90" s="115">
        <v>0</v>
      </c>
      <c r="D90" s="104"/>
      <c r="E90" s="101"/>
      <c r="F90" s="152" t="s">
        <v>128</v>
      </c>
      <c r="G90" s="114"/>
      <c r="H90" s="122"/>
      <c r="I90" s="122"/>
      <c r="J90" s="136"/>
      <c r="K90" s="115"/>
      <c r="L90" s="176"/>
      <c r="M90" s="101"/>
      <c r="N90" s="151" t="s">
        <v>108</v>
      </c>
      <c r="O90" s="109"/>
      <c r="P90" s="110"/>
      <c r="Q90" s="111"/>
      <c r="R90" s="112">
        <v>1</v>
      </c>
      <c r="S90" s="99"/>
      <c r="T90" s="99"/>
      <c r="U90" s="99"/>
      <c r="V90" s="101"/>
    </row>
    <row r="91" spans="1:22" ht="14.4" x14ac:dyDescent="0.3">
      <c r="A91" s="152" t="s">
        <v>113</v>
      </c>
      <c r="B91" s="136"/>
      <c r="C91" s="115">
        <v>0</v>
      </c>
      <c r="D91" s="104"/>
      <c r="E91" s="101"/>
      <c r="F91" s="155" t="s">
        <v>129</v>
      </c>
      <c r="G91" s="123"/>
      <c r="H91" s="129"/>
      <c r="I91" s="129"/>
      <c r="J91" s="138"/>
      <c r="K91" s="124"/>
      <c r="L91" s="176"/>
      <c r="M91" s="101"/>
      <c r="N91" s="154" t="s">
        <v>130</v>
      </c>
      <c r="O91" s="118"/>
      <c r="P91" s="119"/>
      <c r="Q91" s="120"/>
      <c r="R91" s="121">
        <v>0</v>
      </c>
      <c r="S91" s="99"/>
      <c r="T91" s="99"/>
      <c r="U91" s="99"/>
      <c r="V91" s="101"/>
    </row>
    <row r="92" spans="1:22" ht="14.4" x14ac:dyDescent="0.3">
      <c r="A92" s="152" t="s">
        <v>114</v>
      </c>
      <c r="B92" s="136"/>
      <c r="C92" s="115">
        <v>0</v>
      </c>
      <c r="D92" s="98"/>
      <c r="E92" s="101"/>
      <c r="F92" s="101"/>
      <c r="G92" s="101"/>
      <c r="H92" s="101"/>
      <c r="I92" s="101"/>
      <c r="J92" s="101"/>
      <c r="K92" s="101"/>
      <c r="L92" s="101"/>
      <c r="M92" s="101"/>
      <c r="N92" s="154" t="s">
        <v>131</v>
      </c>
      <c r="O92" s="118"/>
      <c r="P92" s="119"/>
      <c r="Q92" s="120"/>
      <c r="R92" s="121">
        <v>0</v>
      </c>
      <c r="S92" s="99"/>
      <c r="T92" s="99"/>
      <c r="U92" s="99"/>
      <c r="V92" s="101"/>
    </row>
    <row r="93" spans="1:22" ht="14.4" x14ac:dyDescent="0.3">
      <c r="A93" s="152" t="s">
        <v>115</v>
      </c>
      <c r="B93" s="136"/>
      <c r="C93" s="115">
        <v>0</v>
      </c>
      <c r="D93" s="98"/>
      <c r="E93" s="101"/>
      <c r="F93" s="101"/>
      <c r="G93" s="101"/>
      <c r="H93" s="101"/>
      <c r="I93" s="101"/>
      <c r="J93" s="101"/>
      <c r="K93" s="101"/>
      <c r="L93" s="101"/>
      <c r="M93" s="101"/>
      <c r="N93" s="154" t="s">
        <v>132</v>
      </c>
      <c r="O93" s="118"/>
      <c r="P93" s="119"/>
      <c r="Q93" s="120"/>
      <c r="R93" s="121">
        <v>0</v>
      </c>
      <c r="S93" s="99"/>
      <c r="T93" s="99"/>
      <c r="U93" s="99"/>
      <c r="V93" s="101"/>
    </row>
    <row r="94" spans="1:22" ht="14.4" x14ac:dyDescent="0.3">
      <c r="A94" s="152" t="s">
        <v>116</v>
      </c>
      <c r="B94" s="136"/>
      <c r="C94" s="115"/>
      <c r="D94" s="98"/>
      <c r="E94" s="101"/>
      <c r="F94" s="149" t="s">
        <v>39</v>
      </c>
      <c r="G94" s="101"/>
      <c r="H94" s="101"/>
      <c r="I94" s="101"/>
      <c r="J94" s="101"/>
      <c r="K94" s="101"/>
      <c r="L94" s="101"/>
      <c r="M94" s="101"/>
      <c r="N94" s="154" t="s">
        <v>60</v>
      </c>
      <c r="O94" s="118"/>
      <c r="P94" s="119"/>
      <c r="Q94" s="120"/>
      <c r="R94" s="121">
        <v>0</v>
      </c>
      <c r="S94" s="99"/>
      <c r="T94" s="99"/>
      <c r="U94" s="99"/>
      <c r="V94" s="101"/>
    </row>
    <row r="95" spans="1:22" ht="14.4" x14ac:dyDescent="0.3">
      <c r="A95" s="152" t="s">
        <v>117</v>
      </c>
      <c r="B95" s="136"/>
      <c r="C95" s="115"/>
      <c r="D95" s="98"/>
      <c r="E95" s="101"/>
      <c r="F95" s="160" t="s">
        <v>96</v>
      </c>
      <c r="G95" s="139"/>
      <c r="H95" s="139"/>
      <c r="I95" s="139"/>
      <c r="J95" s="139"/>
      <c r="K95" s="140">
        <v>0</v>
      </c>
      <c r="L95" s="101"/>
      <c r="M95" s="101"/>
      <c r="N95" s="156" t="s">
        <v>61</v>
      </c>
      <c r="O95" s="132"/>
      <c r="P95" s="133"/>
      <c r="Q95" s="134"/>
      <c r="R95" s="125">
        <v>0</v>
      </c>
      <c r="S95" s="99"/>
      <c r="T95" s="99"/>
      <c r="U95" s="99"/>
      <c r="V95" s="101"/>
    </row>
    <row r="96" spans="1:22" ht="28.8" x14ac:dyDescent="0.3">
      <c r="A96" s="155" t="s">
        <v>118</v>
      </c>
      <c r="B96" s="138"/>
      <c r="C96" s="131">
        <v>1</v>
      </c>
      <c r="D96" s="98"/>
      <c r="E96" s="101"/>
      <c r="F96" s="160" t="s">
        <v>97</v>
      </c>
      <c r="G96" s="139"/>
      <c r="H96" s="139"/>
      <c r="I96" s="139"/>
      <c r="J96" s="139"/>
      <c r="K96" s="140">
        <v>0</v>
      </c>
      <c r="L96" s="99"/>
      <c r="M96" s="99"/>
      <c r="N96" s="178" t="s">
        <v>61</v>
      </c>
      <c r="O96" s="176"/>
      <c r="P96" s="101"/>
      <c r="Q96" s="179"/>
      <c r="R96" s="99">
        <v>0</v>
      </c>
      <c r="S96" s="99"/>
      <c r="T96" s="99"/>
      <c r="U96" s="99"/>
      <c r="V96" s="101"/>
    </row>
  </sheetData>
  <mergeCells count="1">
    <mergeCell ref="U83:V83"/>
  </mergeCells>
  <conditionalFormatting sqref="A11 H1:J2 E1:F2 A1:B4 B5:B11 C1:D11 A23:A25 E22:F25 E6:E12">
    <cfRule type="cellIs" dxfId="33" priority="10" stopIfTrue="1" operator="equal">
      <formula>"NA"</formula>
    </cfRule>
  </conditionalFormatting>
  <conditionalFormatting sqref="D8:D9 D12">
    <cfRule type="cellIs" dxfId="32" priority="11" stopIfTrue="1" operator="equal">
      <formula>"NA"</formula>
    </cfRule>
    <cfRule type="cellIs" dxfId="31" priority="12" stopIfTrue="1" operator="greaterThan">
      <formula>0</formula>
    </cfRule>
  </conditionalFormatting>
  <conditionalFormatting sqref="F6:F12">
    <cfRule type="cellIs" dxfId="30" priority="9" stopIfTrue="1" operator="equal">
      <formula>"NA"</formula>
    </cfRule>
  </conditionalFormatting>
  <conditionalFormatting sqref="E3:J3 E5">
    <cfRule type="cellIs" dxfId="29" priority="8" stopIfTrue="1" operator="equal">
      <formula>"NA"</formula>
    </cfRule>
  </conditionalFormatting>
  <conditionalFormatting sqref="F5">
    <cfRule type="cellIs" dxfId="28" priority="7" stopIfTrue="1" operator="equal">
      <formula>"NA"</formula>
    </cfRule>
  </conditionalFormatting>
  <conditionalFormatting sqref="G5:N5">
    <cfRule type="cellIs" dxfId="27" priority="6" stopIfTrue="1" operator="equal">
      <formula>"NA"</formula>
    </cfRule>
  </conditionalFormatting>
  <conditionalFormatting sqref="A63 A58:A60">
    <cfRule type="cellIs" dxfId="26" priority="5" stopIfTrue="1" operator="equal">
      <formula>"NA"</formula>
    </cfRule>
  </conditionalFormatting>
  <conditionalFormatting sqref="B65:B74 C65:C73">
    <cfRule type="cellIs" dxfId="25" priority="4" operator="greaterThan">
      <formula>0</formula>
    </cfRule>
  </conditionalFormatting>
  <conditionalFormatting sqref="B74:C74">
    <cfRule type="cellIs" dxfId="24" priority="3" operator="greaterThan">
      <formula>0</formula>
    </cfRule>
  </conditionalFormatting>
  <conditionalFormatting sqref="A34:A37 E33:F37">
    <cfRule type="cellIs" dxfId="23" priority="2" stopIfTrue="1" operator="equal">
      <formula>"NA"</formula>
    </cfRule>
  </conditionalFormatting>
  <conditionalFormatting sqref="A45:A46">
    <cfRule type="cellIs" dxfId="22" priority="1" stopIfTrue="1" operator="equal">
      <formula>"NA"</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Y74"/>
  <sheetViews>
    <sheetView topLeftCell="A4" workbookViewId="0">
      <selection activeCell="A15" sqref="A15:W25"/>
    </sheetView>
  </sheetViews>
  <sheetFormatPr defaultColWidth="9.109375" defaultRowHeight="13.8" x14ac:dyDescent="0.3"/>
  <cols>
    <col min="1" max="1" width="34.6640625" style="9" customWidth="1"/>
    <col min="2" max="3" width="14.88671875" style="9" customWidth="1"/>
    <col min="4" max="4" width="14.88671875" style="58" customWidth="1"/>
    <col min="5" max="6" width="14.88671875" style="9" customWidth="1"/>
    <col min="7" max="7" width="15.88671875" style="9" customWidth="1"/>
    <col min="8" max="10" width="14.88671875" style="9" customWidth="1"/>
    <col min="11" max="11" width="11.33203125" style="9" customWidth="1"/>
    <col min="12" max="12" width="12" style="9" customWidth="1"/>
    <col min="13" max="13" width="12.6640625" style="9" customWidth="1"/>
    <col min="14" max="26" width="11" style="9" customWidth="1"/>
    <col min="27" max="16384" width="9.109375" style="9"/>
  </cols>
  <sheetData>
    <row r="1" spans="1:23" ht="23.25" x14ac:dyDescent="0.35">
      <c r="A1" s="3" t="s">
        <v>0</v>
      </c>
      <c r="B1" s="4"/>
      <c r="C1" s="4" t="s">
        <v>120</v>
      </c>
      <c r="D1" s="5" t="s">
        <v>148</v>
      </c>
      <c r="E1" s="4"/>
      <c r="F1" s="4"/>
      <c r="G1" s="6"/>
      <c r="H1" s="7"/>
      <c r="I1" s="4"/>
      <c r="J1" s="8"/>
    </row>
    <row r="2" spans="1:23" ht="21" x14ac:dyDescent="0.35">
      <c r="A2" s="10" t="s">
        <v>1</v>
      </c>
      <c r="B2" s="4"/>
      <c r="C2" s="4"/>
      <c r="D2" s="5"/>
      <c r="E2" s="4"/>
      <c r="F2" s="11"/>
      <c r="G2" s="6"/>
      <c r="H2" s="4"/>
      <c r="I2" s="4"/>
      <c r="J2" s="4"/>
    </row>
    <row r="3" spans="1:23" ht="12.75" x14ac:dyDescent="0.2">
      <c r="A3" s="12"/>
      <c r="B3" s="4"/>
      <c r="C3" s="4"/>
      <c r="D3" s="5"/>
      <c r="E3" s="4"/>
      <c r="F3" s="13"/>
      <c r="G3" s="14"/>
      <c r="H3" s="5"/>
      <c r="I3" s="4"/>
      <c r="J3" s="4"/>
    </row>
    <row r="4" spans="1:23" ht="15.75" x14ac:dyDescent="0.25">
      <c r="A4" s="15" t="s">
        <v>2</v>
      </c>
      <c r="B4" s="16" t="s">
        <v>3</v>
      </c>
      <c r="C4" s="17"/>
      <c r="D4" s="11"/>
      <c r="E4" s="18"/>
      <c r="F4" s="19"/>
      <c r="G4" s="20"/>
      <c r="H4" s="20"/>
      <c r="I4" s="20"/>
      <c r="J4" s="20"/>
      <c r="K4" s="20"/>
      <c r="L4" s="20"/>
      <c r="M4" s="20"/>
      <c r="N4" s="20"/>
    </row>
    <row r="5" spans="1:23" s="26" customFormat="1" ht="15.75" x14ac:dyDescent="0.25">
      <c r="A5" s="21" t="s">
        <v>5</v>
      </c>
      <c r="B5" s="22">
        <v>1243005.8596503173</v>
      </c>
      <c r="C5" s="22"/>
      <c r="D5" s="23"/>
      <c r="E5" s="24"/>
      <c r="F5" s="25"/>
      <c r="G5" s="24"/>
      <c r="H5" s="24"/>
      <c r="I5" s="24"/>
      <c r="J5" s="24"/>
      <c r="K5" s="24"/>
      <c r="L5" s="24"/>
      <c r="M5" s="24"/>
      <c r="N5" s="24"/>
    </row>
    <row r="6" spans="1:23" s="26" customFormat="1" ht="15.75" x14ac:dyDescent="0.25">
      <c r="A6" s="27" t="s">
        <v>6</v>
      </c>
      <c r="B6" s="28">
        <v>0</v>
      </c>
      <c r="C6" s="28"/>
      <c r="D6" s="23"/>
      <c r="E6" s="29"/>
      <c r="F6" s="13"/>
      <c r="H6" s="30"/>
    </row>
    <row r="7" spans="1:23" s="26" customFormat="1" ht="15.75" x14ac:dyDescent="0.25">
      <c r="A7" s="27" t="s">
        <v>7</v>
      </c>
      <c r="B7" s="28">
        <v>3345887.3664812841</v>
      </c>
      <c r="C7" s="28"/>
      <c r="D7" s="23"/>
      <c r="E7" s="29"/>
      <c r="F7" s="13"/>
      <c r="H7" s="30"/>
    </row>
    <row r="8" spans="1:23" s="26" customFormat="1" ht="15.75" x14ac:dyDescent="0.25">
      <c r="A8" s="27" t="s">
        <v>8</v>
      </c>
      <c r="B8" s="28">
        <v>6019142.0219716579</v>
      </c>
      <c r="C8" s="28"/>
      <c r="D8" s="23"/>
      <c r="E8" s="29"/>
      <c r="F8" s="13"/>
      <c r="H8" s="30"/>
    </row>
    <row r="9" spans="1:23" s="26" customFormat="1" ht="15.75" x14ac:dyDescent="0.25">
      <c r="A9" s="27" t="s">
        <v>9</v>
      </c>
      <c r="B9" s="28">
        <v>1683817.0300550289</v>
      </c>
      <c r="C9" s="28"/>
      <c r="D9" s="23"/>
      <c r="E9" s="29"/>
      <c r="F9" s="13"/>
      <c r="H9" s="30"/>
    </row>
    <row r="10" spans="1:23" s="26" customFormat="1" ht="15.75" x14ac:dyDescent="0.25">
      <c r="A10" s="27" t="s">
        <v>4</v>
      </c>
      <c r="B10" s="28">
        <v>-18357.357658336405</v>
      </c>
      <c r="C10" s="28"/>
      <c r="D10" s="23"/>
      <c r="E10" s="29"/>
      <c r="F10" s="13"/>
      <c r="H10" s="30"/>
    </row>
    <row r="11" spans="1:23" ht="15.75" x14ac:dyDescent="0.25">
      <c r="A11" s="31" t="s">
        <v>10</v>
      </c>
      <c r="B11" s="32">
        <v>12273494.920499953</v>
      </c>
      <c r="C11" s="32"/>
      <c r="D11" s="23"/>
      <c r="E11" s="33"/>
      <c r="F11" s="13"/>
      <c r="H11" s="30"/>
    </row>
    <row r="12" spans="1:23" ht="12.75" x14ac:dyDescent="0.2">
      <c r="A12" s="34"/>
      <c r="B12" s="34"/>
      <c r="C12" s="35"/>
      <c r="D12" s="35"/>
      <c r="E12" s="36"/>
      <c r="F12" s="13"/>
      <c r="G12" s="26"/>
      <c r="H12" s="30"/>
      <c r="I12" s="26"/>
      <c r="J12" s="26"/>
      <c r="K12" s="37"/>
    </row>
    <row r="13" spans="1:23" ht="12.75" x14ac:dyDescent="0.2">
      <c r="A13" s="26"/>
      <c r="B13" s="35"/>
      <c r="C13" s="38"/>
      <c r="D13" s="39"/>
      <c r="E13" s="26"/>
      <c r="F13" s="37"/>
      <c r="G13" s="26"/>
      <c r="H13" s="35"/>
      <c r="I13" s="38"/>
      <c r="J13" s="38"/>
    </row>
    <row r="16" spans="1:23" ht="15.75" x14ac:dyDescent="0.2">
      <c r="A16" s="40" t="s">
        <v>11</v>
      </c>
      <c r="B16" s="9" t="s">
        <v>12</v>
      </c>
      <c r="D16" s="41">
        <v>2014</v>
      </c>
      <c r="E16" s="41">
        <v>2015</v>
      </c>
      <c r="F16" s="41">
        <v>2016</v>
      </c>
      <c r="G16" s="41">
        <v>2017</v>
      </c>
      <c r="H16" s="41">
        <v>2018</v>
      </c>
      <c r="I16" s="41">
        <v>2019</v>
      </c>
      <c r="J16" s="41">
        <v>2020</v>
      </c>
      <c r="K16" s="41">
        <v>2021</v>
      </c>
      <c r="L16" s="41">
        <v>2022</v>
      </c>
      <c r="M16" s="41">
        <v>2023</v>
      </c>
      <c r="N16" s="41">
        <v>2024</v>
      </c>
      <c r="O16" s="41">
        <v>2025</v>
      </c>
      <c r="P16" s="41">
        <v>2026</v>
      </c>
      <c r="Q16" s="41">
        <v>2027</v>
      </c>
      <c r="R16" s="41">
        <v>2028</v>
      </c>
      <c r="S16" s="41">
        <v>2029</v>
      </c>
      <c r="T16" s="41">
        <v>2030</v>
      </c>
      <c r="U16" s="41">
        <v>2031</v>
      </c>
      <c r="V16" s="41">
        <v>2032</v>
      </c>
      <c r="W16" s="41">
        <v>2033</v>
      </c>
    </row>
    <row r="17" spans="1:23" ht="12.75" x14ac:dyDescent="0.2">
      <c r="A17" s="17" t="s">
        <v>5</v>
      </c>
      <c r="B17" s="30">
        <v>1243005.8596503173</v>
      </c>
      <c r="C17" s="42">
        <v>0</v>
      </c>
      <c r="D17" s="43">
        <v>216581.35867636107</v>
      </c>
      <c r="E17" s="44">
        <v>191865.53673892212</v>
      </c>
      <c r="F17" s="44">
        <v>169195.01154335029</v>
      </c>
      <c r="G17" s="44">
        <v>124972.60882951354</v>
      </c>
      <c r="H17" s="44">
        <v>97078.130321891746</v>
      </c>
      <c r="I17" s="44">
        <v>88017.572583709611</v>
      </c>
      <c r="J17" s="44">
        <v>120239.46785760508</v>
      </c>
      <c r="K17" s="44">
        <v>95731.933939819224</v>
      </c>
      <c r="L17" s="44">
        <v>44722.018760437029</v>
      </c>
      <c r="M17" s="44">
        <v>19739.434363357606</v>
      </c>
      <c r="N17" s="44">
        <v>27979.431729751639</v>
      </c>
      <c r="O17" s="44">
        <v>55116.230939514819</v>
      </c>
      <c r="P17" s="44">
        <v>114452.30853070086</v>
      </c>
      <c r="Q17" s="44">
        <v>78150.707037414424</v>
      </c>
      <c r="R17" s="44">
        <v>108717.54098461941</v>
      </c>
      <c r="S17" s="44">
        <v>115199.66916719079</v>
      </c>
      <c r="T17" s="44">
        <v>114003.11634109518</v>
      </c>
      <c r="U17" s="44">
        <v>162859.0537395475</v>
      </c>
      <c r="V17" s="44">
        <v>164423.03212734987</v>
      </c>
      <c r="W17" s="45">
        <v>164527.12930421415</v>
      </c>
    </row>
    <row r="18" spans="1:23" ht="12.75" x14ac:dyDescent="0.2">
      <c r="A18" s="17" t="s">
        <v>6</v>
      </c>
      <c r="B18" s="30">
        <v>0</v>
      </c>
      <c r="C18" s="42">
        <v>0</v>
      </c>
      <c r="D18" s="46">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8">
        <v>0</v>
      </c>
    </row>
    <row r="19" spans="1:23" ht="12.75" x14ac:dyDescent="0.2">
      <c r="A19" s="17" t="s">
        <v>13</v>
      </c>
      <c r="B19" s="30">
        <v>3437539.1495211665</v>
      </c>
      <c r="C19" s="42">
        <v>0</v>
      </c>
      <c r="D19" s="46">
        <v>178227.56279952324</v>
      </c>
      <c r="E19" s="47">
        <v>188973.34371501132</v>
      </c>
      <c r="F19" s="47">
        <v>211114.77581362729</v>
      </c>
      <c r="G19" s="47">
        <v>258438.70768449194</v>
      </c>
      <c r="H19" s="47">
        <v>309328.00197103759</v>
      </c>
      <c r="I19" s="47">
        <v>330437.44260517904</v>
      </c>
      <c r="J19" s="47">
        <v>338316.84275099111</v>
      </c>
      <c r="K19" s="47">
        <v>353366.22000830498</v>
      </c>
      <c r="L19" s="47">
        <v>362411.00090103236</v>
      </c>
      <c r="M19" s="47">
        <v>371499.13806471217</v>
      </c>
      <c r="N19" s="47">
        <v>390086.63477098843</v>
      </c>
      <c r="O19" s="47">
        <v>406100.44637255103</v>
      </c>
      <c r="P19" s="47">
        <v>420054.93158884853</v>
      </c>
      <c r="Q19" s="47">
        <v>437197.13199035457</v>
      </c>
      <c r="R19" s="47">
        <v>453485.73614249658</v>
      </c>
      <c r="S19" s="47">
        <v>461420.26671207114</v>
      </c>
      <c r="T19" s="47">
        <v>475444.00696082902</v>
      </c>
      <c r="U19" s="47">
        <v>516761.51206621836</v>
      </c>
      <c r="V19" s="47">
        <v>529052.15846199472</v>
      </c>
      <c r="W19" s="48">
        <v>542498.59484466421</v>
      </c>
    </row>
    <row r="20" spans="1:23" ht="12.75" x14ac:dyDescent="0.2">
      <c r="A20" s="11" t="s">
        <v>14</v>
      </c>
      <c r="B20" s="30">
        <v>0</v>
      </c>
      <c r="C20" s="42">
        <v>0</v>
      </c>
      <c r="D20" s="46">
        <v>0</v>
      </c>
      <c r="E20" s="47">
        <v>0</v>
      </c>
      <c r="F20" s="47">
        <v>0</v>
      </c>
      <c r="G20" s="47">
        <v>0</v>
      </c>
      <c r="H20" s="47">
        <v>0</v>
      </c>
      <c r="I20" s="47">
        <v>0</v>
      </c>
      <c r="J20" s="47">
        <v>0</v>
      </c>
      <c r="K20" s="47">
        <v>0</v>
      </c>
      <c r="L20" s="47">
        <v>0</v>
      </c>
      <c r="M20" s="47">
        <v>0</v>
      </c>
      <c r="N20" s="47">
        <v>0</v>
      </c>
      <c r="O20" s="47">
        <v>0</v>
      </c>
      <c r="P20" s="47">
        <v>0</v>
      </c>
      <c r="Q20" s="47">
        <v>0</v>
      </c>
      <c r="R20" s="47">
        <v>0</v>
      </c>
      <c r="S20" s="47">
        <v>0</v>
      </c>
      <c r="T20" s="47">
        <v>0</v>
      </c>
      <c r="U20" s="47">
        <v>0</v>
      </c>
      <c r="V20" s="47">
        <v>0</v>
      </c>
      <c r="W20" s="48">
        <v>0</v>
      </c>
    </row>
    <row r="21" spans="1:23" ht="12.75" x14ac:dyDescent="0.2">
      <c r="A21" s="17" t="s">
        <v>8</v>
      </c>
      <c r="B21" s="30">
        <v>3053146.6207557223</v>
      </c>
      <c r="C21" s="42">
        <v>0</v>
      </c>
      <c r="D21" s="46">
        <v>0</v>
      </c>
      <c r="E21" s="47">
        <v>0</v>
      </c>
      <c r="F21" s="47">
        <v>0</v>
      </c>
      <c r="G21" s="47">
        <v>0</v>
      </c>
      <c r="H21" s="47">
        <v>66814.116797946976</v>
      </c>
      <c r="I21" s="47">
        <v>70380.528749142206</v>
      </c>
      <c r="J21" s="47">
        <v>67010.753324399135</v>
      </c>
      <c r="K21" s="47">
        <v>71377.910062585404</v>
      </c>
      <c r="L21" s="47">
        <v>289285.0294544244</v>
      </c>
      <c r="M21" s="47">
        <v>362351.6803063096</v>
      </c>
      <c r="N21" s="47">
        <v>357216.46290880785</v>
      </c>
      <c r="O21" s="47">
        <v>441746.19739380339</v>
      </c>
      <c r="P21" s="47">
        <v>633484.69817213353</v>
      </c>
      <c r="Q21" s="47">
        <v>782434.58743025979</v>
      </c>
      <c r="R21" s="47">
        <v>787458.00036789197</v>
      </c>
      <c r="S21" s="47">
        <v>874762.60312165157</v>
      </c>
      <c r="T21" s="47">
        <v>1022683.4892010934</v>
      </c>
      <c r="U21" s="47">
        <v>1023641.2866166335</v>
      </c>
      <c r="V21" s="47">
        <v>1108838.176222238</v>
      </c>
      <c r="W21" s="48">
        <v>1218866.466511375</v>
      </c>
    </row>
    <row r="22" spans="1:23" ht="12.75" x14ac:dyDescent="0.2">
      <c r="A22" s="17" t="s">
        <v>4</v>
      </c>
      <c r="B22" s="30">
        <v>-18357.357658336405</v>
      </c>
      <c r="C22" s="42">
        <v>0</v>
      </c>
      <c r="D22" s="49">
        <v>-5148.4477989102234</v>
      </c>
      <c r="E22" s="50">
        <v>-1220.7722042561236</v>
      </c>
      <c r="F22" s="50">
        <v>-4929.9735603544968</v>
      </c>
      <c r="G22" s="50">
        <v>-3022.1699926038218</v>
      </c>
      <c r="H22" s="50">
        <v>0</v>
      </c>
      <c r="I22" s="50">
        <v>0</v>
      </c>
      <c r="J22" s="50">
        <v>0</v>
      </c>
      <c r="K22" s="50">
        <v>-908.66180257301914</v>
      </c>
      <c r="L22" s="50">
        <v>-1340.5856199465834</v>
      </c>
      <c r="M22" s="50">
        <v>-1343.493667020279</v>
      </c>
      <c r="N22" s="50">
        <v>-1194.5263015689341</v>
      </c>
      <c r="O22" s="50">
        <v>-693.64144758204111</v>
      </c>
      <c r="P22" s="50">
        <v>-190.48957063444709</v>
      </c>
      <c r="Q22" s="50">
        <v>-1350.5908266352003</v>
      </c>
      <c r="R22" s="50">
        <v>-965.24004762026846</v>
      </c>
      <c r="S22" s="50">
        <v>-278.92304059912499</v>
      </c>
      <c r="T22" s="50">
        <v>-2893.7625444030609</v>
      </c>
      <c r="U22" s="50">
        <v>-2380.9647614481637</v>
      </c>
      <c r="V22" s="50">
        <v>-1875.3006166231078</v>
      </c>
      <c r="W22" s="51">
        <v>-1098.9711296175617</v>
      </c>
    </row>
    <row r="23" spans="1:23" ht="12.75" x14ac:dyDescent="0.2">
      <c r="A23" s="17" t="s">
        <v>9</v>
      </c>
      <c r="B23" s="30">
        <v>1683817.0300550282</v>
      </c>
      <c r="C23" s="42">
        <v>0</v>
      </c>
      <c r="D23" s="52">
        <v>118953.84115064144</v>
      </c>
      <c r="E23" s="53">
        <v>111042.4986525774</v>
      </c>
      <c r="F23" s="53">
        <v>117807.83198028804</v>
      </c>
      <c r="G23" s="53">
        <v>136302.2709736824</v>
      </c>
      <c r="H23" s="53">
        <v>149846.23457318544</v>
      </c>
      <c r="I23" s="53">
        <v>176252.81240057945</v>
      </c>
      <c r="J23" s="53">
        <v>153123.66751891375</v>
      </c>
      <c r="K23" s="53">
        <v>179294.93586719036</v>
      </c>
      <c r="L23" s="53">
        <v>172643.72110557556</v>
      </c>
      <c r="M23" s="53">
        <v>180066.77784401178</v>
      </c>
      <c r="N23" s="53">
        <v>187311.3648685813</v>
      </c>
      <c r="O23" s="53">
        <v>190374.08940333128</v>
      </c>
      <c r="P23" s="53">
        <v>209476.70677530766</v>
      </c>
      <c r="Q23" s="53">
        <v>208115.71458274126</v>
      </c>
      <c r="R23" s="53">
        <v>220722.45346987247</v>
      </c>
      <c r="S23" s="53">
        <v>208830.08185565472</v>
      </c>
      <c r="T23" s="53">
        <v>202876.56613910198</v>
      </c>
      <c r="U23" s="53">
        <v>196572.17748200893</v>
      </c>
      <c r="V23" s="53">
        <v>194064.26637101173</v>
      </c>
      <c r="W23" s="54">
        <v>200493.89921879768</v>
      </c>
    </row>
    <row r="24" spans="1:23" ht="12.75" x14ac:dyDescent="0.2">
      <c r="A24" s="17" t="s">
        <v>15</v>
      </c>
      <c r="B24" s="30">
        <v>9399151.3023238983</v>
      </c>
      <c r="C24" s="42">
        <v>0</v>
      </c>
      <c r="D24" s="55">
        <v>508614.31482761551</v>
      </c>
      <c r="E24" s="56">
        <v>490660.60690225469</v>
      </c>
      <c r="F24" s="56">
        <v>493187.64577691111</v>
      </c>
      <c r="G24" s="56">
        <v>516691.41749508405</v>
      </c>
      <c r="H24" s="273">
        <v>623066.48366406176</v>
      </c>
      <c r="I24" s="56">
        <v>665088.35633861029</v>
      </c>
      <c r="J24" s="56">
        <v>678690.73145190906</v>
      </c>
      <c r="K24" s="56">
        <v>698862.33807532699</v>
      </c>
      <c r="L24" s="273">
        <v>867721.18460152275</v>
      </c>
      <c r="M24" s="56">
        <v>932313.53691137093</v>
      </c>
      <c r="N24" s="56">
        <v>961399.36797656026</v>
      </c>
      <c r="O24" s="56">
        <v>1092643.3226616185</v>
      </c>
      <c r="P24" s="56">
        <v>1377278.1554963561</v>
      </c>
      <c r="Q24" s="56">
        <v>1504547.5502141349</v>
      </c>
      <c r="R24" s="56">
        <v>1569418.4909172601</v>
      </c>
      <c r="S24" s="56">
        <v>1659933.6978159691</v>
      </c>
      <c r="T24" s="56">
        <v>1812113.4160977167</v>
      </c>
      <c r="U24" s="56">
        <v>1897453.0651429603</v>
      </c>
      <c r="V24" s="56">
        <v>1994502.3325659712</v>
      </c>
      <c r="W24" s="57">
        <v>2125287.1187494332</v>
      </c>
    </row>
    <row r="25" spans="1:23" ht="12.75" x14ac:dyDescent="0.2">
      <c r="D25" s="9"/>
    </row>
    <row r="26" spans="1:23" ht="12.75" x14ac:dyDescent="0.2">
      <c r="A26" s="59" t="s">
        <v>16</v>
      </c>
      <c r="D26" s="30"/>
      <c r="E26" s="58"/>
    </row>
    <row r="27" spans="1:23" ht="12.75" x14ac:dyDescent="0.2">
      <c r="A27" s="9" t="s">
        <v>17</v>
      </c>
      <c r="B27" s="60">
        <v>1474828.1169512472</v>
      </c>
      <c r="C27" s="58" t="s">
        <v>18</v>
      </c>
      <c r="D27" s="9"/>
    </row>
    <row r="28" spans="1:23" ht="12.75" x14ac:dyDescent="0.2">
      <c r="A28" s="9" t="s">
        <v>19</v>
      </c>
      <c r="B28" s="60">
        <v>0</v>
      </c>
      <c r="C28" s="58"/>
      <c r="D28" s="9"/>
    </row>
    <row r="29" spans="1:23" ht="12.75" x14ac:dyDescent="0.2">
      <c r="A29" s="9" t="s">
        <v>20</v>
      </c>
      <c r="B29" s="60">
        <v>-91651.783039882343</v>
      </c>
      <c r="C29" s="58"/>
      <c r="D29" s="9"/>
    </row>
    <row r="30" spans="1:23" ht="12.75" x14ac:dyDescent="0.2">
      <c r="A30" s="9" t="s">
        <v>21</v>
      </c>
      <c r="B30" s="60">
        <v>1491167.2842646879</v>
      </c>
      <c r="C30" s="58" t="s">
        <v>22</v>
      </c>
      <c r="D30" s="9"/>
    </row>
    <row r="32" spans="1:23" ht="12.75" x14ac:dyDescent="0.2">
      <c r="A32" s="9" t="s">
        <v>23</v>
      </c>
      <c r="B32" s="30">
        <v>12273494.920499951</v>
      </c>
      <c r="D32" s="9"/>
    </row>
    <row r="33" spans="1:25" s="26" customFormat="1" ht="12.75" x14ac:dyDescent="0.2">
      <c r="C33" s="42"/>
      <c r="D33" s="61"/>
      <c r="E33" s="61"/>
      <c r="F33" s="61"/>
      <c r="G33" s="61"/>
      <c r="H33" s="61"/>
      <c r="I33" s="61"/>
      <c r="J33" s="61"/>
      <c r="K33" s="61"/>
      <c r="L33" s="61"/>
      <c r="M33" s="61"/>
      <c r="N33" s="61"/>
      <c r="O33" s="61"/>
      <c r="P33" s="61"/>
      <c r="Q33" s="61"/>
      <c r="R33" s="61"/>
      <c r="S33" s="61"/>
    </row>
    <row r="34" spans="1:25" s="26" customFormat="1" ht="12.75" x14ac:dyDescent="0.2">
      <c r="D34" s="37"/>
    </row>
    <row r="35" spans="1:25" s="26" customFormat="1" ht="23.25" x14ac:dyDescent="0.35">
      <c r="A35" s="162" t="s">
        <v>98</v>
      </c>
      <c r="D35" s="62"/>
      <c r="E35" s="62"/>
      <c r="F35" s="62"/>
      <c r="G35" s="62"/>
      <c r="H35" s="62"/>
      <c r="I35" s="62"/>
      <c r="J35" s="62"/>
      <c r="K35" s="62"/>
      <c r="L35" s="62"/>
      <c r="M35" s="62"/>
      <c r="N35" s="62"/>
      <c r="O35" s="62"/>
      <c r="P35" s="62"/>
      <c r="Q35" s="62"/>
      <c r="R35" s="62"/>
      <c r="S35" s="62"/>
      <c r="T35" s="62"/>
      <c r="U35" s="62"/>
      <c r="V35" s="62"/>
      <c r="W35" s="62"/>
    </row>
    <row r="36" spans="1:25" s="26" customFormat="1" ht="23.25" x14ac:dyDescent="0.35">
      <c r="A36" s="65" t="s">
        <v>0</v>
      </c>
      <c r="B36" s="66"/>
      <c r="C36" s="66"/>
      <c r="D36" s="66"/>
      <c r="E36" s="66"/>
      <c r="F36" s="66"/>
      <c r="G36" s="66"/>
      <c r="H36" s="66"/>
      <c r="I36" s="66"/>
      <c r="J36" s="66"/>
      <c r="K36" s="66"/>
      <c r="L36" s="66"/>
      <c r="M36" s="67"/>
      <c r="N36" s="66"/>
      <c r="O36" s="66"/>
      <c r="P36" s="66"/>
      <c r="Q36" s="66"/>
      <c r="R36" s="66"/>
      <c r="S36" s="66"/>
      <c r="T36" s="66"/>
      <c r="U36" s="66"/>
      <c r="V36" s="66"/>
    </row>
    <row r="37" spans="1:25" s="26" customFormat="1" ht="21" x14ac:dyDescent="0.35">
      <c r="A37" s="141" t="s">
        <v>1</v>
      </c>
      <c r="B37" s="68"/>
      <c r="C37" s="68"/>
      <c r="D37" s="68"/>
      <c r="E37" s="68"/>
      <c r="F37" s="68"/>
      <c r="G37" s="142"/>
      <c r="H37" s="142"/>
      <c r="I37" s="142"/>
      <c r="J37" s="142"/>
      <c r="K37" s="142"/>
      <c r="L37" s="142"/>
      <c r="M37" s="68"/>
      <c r="N37" s="68"/>
      <c r="O37" s="68"/>
      <c r="P37" s="68"/>
      <c r="Q37" s="68"/>
      <c r="R37" s="68"/>
      <c r="S37" s="68"/>
      <c r="T37" s="68"/>
      <c r="U37" s="68"/>
      <c r="V37" s="68"/>
      <c r="W37" s="63"/>
    </row>
    <row r="38" spans="1:25" s="26" customFormat="1" ht="15.75" x14ac:dyDescent="0.25">
      <c r="A38" s="69"/>
      <c r="B38" s="68"/>
      <c r="C38" s="68"/>
      <c r="D38" s="68"/>
      <c r="E38" s="68"/>
      <c r="F38" s="68"/>
      <c r="G38" s="70"/>
      <c r="H38" s="71"/>
      <c r="I38" s="71"/>
      <c r="J38" s="72"/>
      <c r="K38" s="142"/>
      <c r="L38" s="142"/>
      <c r="M38" s="68"/>
      <c r="N38" s="68"/>
      <c r="O38" s="68"/>
      <c r="P38" s="68"/>
      <c r="Q38" s="68"/>
      <c r="R38" s="68"/>
      <c r="S38" s="68"/>
      <c r="T38" s="68"/>
      <c r="U38" s="68"/>
      <c r="V38" s="68"/>
      <c r="W38" s="29"/>
    </row>
    <row r="39" spans="1:25" s="26" customFormat="1" ht="15.75" x14ac:dyDescent="0.25">
      <c r="A39" s="143" t="s">
        <v>24</v>
      </c>
      <c r="B39" s="144"/>
      <c r="C39" s="73"/>
      <c r="D39" s="74"/>
      <c r="E39" s="75"/>
      <c r="F39" s="73"/>
      <c r="G39" s="70"/>
      <c r="H39" s="71"/>
      <c r="I39" s="71"/>
      <c r="J39" s="76"/>
      <c r="K39" s="142"/>
      <c r="L39" s="142"/>
      <c r="M39" s="68"/>
      <c r="N39" s="68"/>
      <c r="O39" s="68"/>
      <c r="P39" s="68"/>
      <c r="Q39" s="68"/>
      <c r="R39" s="68"/>
      <c r="S39" s="68"/>
      <c r="T39" s="68"/>
      <c r="U39" s="68"/>
      <c r="V39" s="68"/>
      <c r="W39" s="29"/>
      <c r="X39" s="29"/>
      <c r="Y39" s="29"/>
    </row>
    <row r="40" spans="1:25" s="26" customFormat="1" ht="15.6" x14ac:dyDescent="0.3">
      <c r="A40" s="77">
        <v>12273494.920499953</v>
      </c>
      <c r="B40" s="75"/>
      <c r="C40" s="78"/>
      <c r="D40" s="79"/>
      <c r="E40" s="75"/>
      <c r="F40" s="78"/>
      <c r="G40" s="70"/>
      <c r="H40" s="71"/>
      <c r="I40" s="71"/>
      <c r="J40" s="142"/>
      <c r="K40" s="142"/>
      <c r="L40" s="142"/>
      <c r="M40" s="68"/>
      <c r="N40" s="68"/>
      <c r="O40" s="68"/>
      <c r="P40" s="68"/>
      <c r="Q40" s="68"/>
      <c r="R40" s="68"/>
      <c r="S40" s="68"/>
      <c r="T40" s="68"/>
      <c r="U40" s="68"/>
      <c r="V40" s="68"/>
      <c r="W40" s="63"/>
    </row>
    <row r="41" spans="1:25" s="26" customFormat="1" ht="15.6" x14ac:dyDescent="0.3">
      <c r="A41" s="69"/>
      <c r="B41" s="68"/>
      <c r="C41" s="68"/>
      <c r="D41" s="68"/>
      <c r="E41" s="68"/>
      <c r="F41" s="68"/>
      <c r="G41" s="70"/>
      <c r="H41" s="71"/>
      <c r="I41" s="71"/>
      <c r="J41" s="142"/>
      <c r="K41" s="142"/>
      <c r="L41" s="142"/>
      <c r="M41" s="68"/>
      <c r="N41" s="68"/>
      <c r="O41" s="68"/>
      <c r="P41" s="68"/>
      <c r="Q41" s="68"/>
      <c r="R41" s="68"/>
      <c r="S41" s="68"/>
      <c r="T41" s="68"/>
      <c r="U41" s="68"/>
      <c r="V41" s="68"/>
      <c r="W41" s="63"/>
    </row>
    <row r="42" spans="1:25" s="26" customFormat="1" ht="14.4" x14ac:dyDescent="0.3">
      <c r="A42" s="145" t="s">
        <v>25</v>
      </c>
      <c r="B42" s="80">
        <v>2014</v>
      </c>
      <c r="C42" s="80">
        <v>2015</v>
      </c>
      <c r="D42" s="80">
        <v>2016</v>
      </c>
      <c r="E42" s="80">
        <v>2017</v>
      </c>
      <c r="F42" s="80">
        <v>2018</v>
      </c>
      <c r="G42" s="80">
        <v>2019</v>
      </c>
      <c r="H42" s="80">
        <v>2020</v>
      </c>
      <c r="I42" s="80">
        <v>2021</v>
      </c>
      <c r="J42" s="80">
        <v>2022</v>
      </c>
      <c r="K42" s="80">
        <v>2023</v>
      </c>
      <c r="L42" s="80">
        <v>2024</v>
      </c>
      <c r="M42" s="80">
        <v>2025</v>
      </c>
      <c r="N42" s="80">
        <v>2026</v>
      </c>
      <c r="O42" s="80">
        <v>2027</v>
      </c>
      <c r="P42" s="80">
        <v>2028</v>
      </c>
      <c r="Q42" s="80">
        <v>2029</v>
      </c>
      <c r="R42" s="80">
        <v>2030</v>
      </c>
      <c r="S42" s="80">
        <v>2031</v>
      </c>
      <c r="T42" s="80">
        <v>2032</v>
      </c>
      <c r="U42" s="80">
        <v>2033</v>
      </c>
      <c r="V42" s="81" t="s">
        <v>26</v>
      </c>
      <c r="W42" s="63"/>
    </row>
    <row r="43" spans="1:25" s="26" customFormat="1" ht="14.4" x14ac:dyDescent="0.3">
      <c r="A43" s="146" t="s">
        <v>27</v>
      </c>
      <c r="B43" s="82">
        <v>0</v>
      </c>
      <c r="C43" s="83">
        <v>0</v>
      </c>
      <c r="D43" s="84">
        <v>0</v>
      </c>
      <c r="E43" s="84">
        <v>0</v>
      </c>
      <c r="F43" s="84">
        <v>0</v>
      </c>
      <c r="G43" s="84">
        <v>0</v>
      </c>
      <c r="H43" s="84">
        <v>0</v>
      </c>
      <c r="I43" s="84">
        <v>0</v>
      </c>
      <c r="J43" s="84">
        <v>0</v>
      </c>
      <c r="K43" s="84">
        <v>0</v>
      </c>
      <c r="L43" s="84">
        <v>0</v>
      </c>
      <c r="M43" s="84">
        <v>0</v>
      </c>
      <c r="N43" s="84">
        <v>0</v>
      </c>
      <c r="O43" s="84">
        <v>0</v>
      </c>
      <c r="P43" s="84">
        <v>0</v>
      </c>
      <c r="Q43" s="84">
        <v>0</v>
      </c>
      <c r="R43" s="84">
        <v>0</v>
      </c>
      <c r="S43" s="84">
        <v>0</v>
      </c>
      <c r="T43" s="84">
        <v>0</v>
      </c>
      <c r="U43" s="84">
        <v>0</v>
      </c>
      <c r="V43" s="85">
        <v>0</v>
      </c>
      <c r="W43" s="63"/>
    </row>
    <row r="44" spans="1:25" s="26" customFormat="1" ht="14.4" x14ac:dyDescent="0.3">
      <c r="A44" s="147" t="s">
        <v>28</v>
      </c>
      <c r="B44" s="86">
        <v>0</v>
      </c>
      <c r="C44" s="87">
        <v>0</v>
      </c>
      <c r="D44" s="88">
        <v>0</v>
      </c>
      <c r="E44" s="88">
        <v>0</v>
      </c>
      <c r="F44" s="88">
        <v>0</v>
      </c>
      <c r="G44" s="88">
        <v>0</v>
      </c>
      <c r="H44" s="88">
        <v>0</v>
      </c>
      <c r="I44" s="88">
        <v>0</v>
      </c>
      <c r="J44" s="88">
        <v>0</v>
      </c>
      <c r="K44" s="88">
        <v>0</v>
      </c>
      <c r="L44" s="88">
        <v>0</v>
      </c>
      <c r="M44" s="88">
        <v>0</v>
      </c>
      <c r="N44" s="88">
        <v>0</v>
      </c>
      <c r="O44" s="88">
        <v>0</v>
      </c>
      <c r="P44" s="88">
        <v>0</v>
      </c>
      <c r="Q44" s="88">
        <v>0</v>
      </c>
      <c r="R44" s="88">
        <v>0</v>
      </c>
      <c r="S44" s="88">
        <v>0</v>
      </c>
      <c r="T44" s="88">
        <v>0</v>
      </c>
      <c r="U44" s="88">
        <v>0</v>
      </c>
      <c r="V44" s="89">
        <v>0</v>
      </c>
      <c r="W44" s="63"/>
    </row>
    <row r="45" spans="1:25" s="26" customFormat="1" ht="14.4" x14ac:dyDescent="0.3">
      <c r="A45" s="147" t="s">
        <v>29</v>
      </c>
      <c r="B45" s="86">
        <v>0</v>
      </c>
      <c r="C45" s="87">
        <v>0</v>
      </c>
      <c r="D45" s="88">
        <v>0</v>
      </c>
      <c r="E45" s="88">
        <v>0</v>
      </c>
      <c r="F45" s="88">
        <v>0</v>
      </c>
      <c r="G45" s="88">
        <v>0</v>
      </c>
      <c r="H45" s="88">
        <v>0</v>
      </c>
      <c r="I45" s="88">
        <v>0</v>
      </c>
      <c r="J45" s="88">
        <v>3</v>
      </c>
      <c r="K45" s="88">
        <v>0</v>
      </c>
      <c r="L45" s="88">
        <v>0</v>
      </c>
      <c r="M45" s="88">
        <v>0</v>
      </c>
      <c r="N45" s="88">
        <v>0</v>
      </c>
      <c r="O45" s="88">
        <v>1</v>
      </c>
      <c r="P45" s="88">
        <v>0</v>
      </c>
      <c r="Q45" s="88">
        <v>0</v>
      </c>
      <c r="R45" s="88">
        <v>1</v>
      </c>
      <c r="S45" s="88">
        <v>0</v>
      </c>
      <c r="T45" s="88">
        <v>0</v>
      </c>
      <c r="U45" s="88">
        <v>0</v>
      </c>
      <c r="V45" s="89">
        <v>5</v>
      </c>
      <c r="W45" s="29"/>
    </row>
    <row r="46" spans="1:25" s="26" customFormat="1" ht="14.4" x14ac:dyDescent="0.3">
      <c r="A46" s="147" t="s">
        <v>30</v>
      </c>
      <c r="B46" s="90">
        <v>0</v>
      </c>
      <c r="C46" s="91">
        <v>0</v>
      </c>
      <c r="D46" s="87"/>
      <c r="E46" s="87"/>
      <c r="F46" s="87"/>
      <c r="G46" s="87"/>
      <c r="H46" s="87"/>
      <c r="I46" s="87"/>
      <c r="J46" s="87"/>
      <c r="K46" s="87"/>
      <c r="L46" s="87"/>
      <c r="M46" s="87"/>
      <c r="N46" s="87"/>
      <c r="O46" s="87"/>
      <c r="P46" s="87"/>
      <c r="Q46" s="87"/>
      <c r="R46" s="87"/>
      <c r="S46" s="87"/>
      <c r="T46" s="87"/>
      <c r="U46" s="87"/>
      <c r="V46" s="89">
        <v>0</v>
      </c>
    </row>
    <row r="47" spans="1:25" s="26" customFormat="1" ht="14.4" x14ac:dyDescent="0.3">
      <c r="A47" s="147" t="s">
        <v>31</v>
      </c>
      <c r="B47" s="86">
        <v>0</v>
      </c>
      <c r="C47" s="87">
        <v>0</v>
      </c>
      <c r="D47" s="92"/>
      <c r="E47" s="92"/>
      <c r="F47" s="92"/>
      <c r="G47" s="92"/>
      <c r="H47" s="92"/>
      <c r="I47" s="92"/>
      <c r="J47" s="92"/>
      <c r="K47" s="92"/>
      <c r="L47" s="92"/>
      <c r="M47" s="92"/>
      <c r="N47" s="92"/>
      <c r="O47" s="92"/>
      <c r="P47" s="92"/>
      <c r="Q47" s="92"/>
      <c r="R47" s="92"/>
      <c r="S47" s="92"/>
      <c r="T47" s="92"/>
      <c r="U47" s="93"/>
      <c r="V47" s="89">
        <v>0</v>
      </c>
      <c r="W47" s="64"/>
    </row>
    <row r="48" spans="1:25" s="26" customFormat="1" ht="14.4" x14ac:dyDescent="0.3">
      <c r="A48" s="147" t="s">
        <v>32</v>
      </c>
      <c r="B48" s="86">
        <v>0</v>
      </c>
      <c r="C48" s="87">
        <v>0</v>
      </c>
      <c r="D48" s="92"/>
      <c r="E48" s="92"/>
      <c r="F48" s="92"/>
      <c r="G48" s="92"/>
      <c r="H48" s="92"/>
      <c r="I48" s="92"/>
      <c r="J48" s="92"/>
      <c r="K48" s="92"/>
      <c r="L48" s="92"/>
      <c r="M48" s="92"/>
      <c r="N48" s="92"/>
      <c r="O48" s="92"/>
      <c r="P48" s="92"/>
      <c r="Q48" s="92"/>
      <c r="R48" s="92"/>
      <c r="S48" s="92"/>
      <c r="T48" s="92"/>
      <c r="U48" s="93"/>
      <c r="V48" s="89">
        <v>0</v>
      </c>
    </row>
    <row r="49" spans="1:23" s="26" customFormat="1" ht="14.4" x14ac:dyDescent="0.3">
      <c r="A49" s="147" t="s">
        <v>33</v>
      </c>
      <c r="B49" s="86">
        <v>0</v>
      </c>
      <c r="C49" s="87">
        <v>0</v>
      </c>
      <c r="D49" s="87"/>
      <c r="E49" s="87"/>
      <c r="F49" s="87"/>
      <c r="G49" s="87"/>
      <c r="H49" s="87"/>
      <c r="I49" s="87"/>
      <c r="J49" s="87"/>
      <c r="K49" s="87"/>
      <c r="L49" s="87"/>
      <c r="M49" s="87"/>
      <c r="N49" s="87"/>
      <c r="O49" s="87"/>
      <c r="P49" s="87"/>
      <c r="Q49" s="87"/>
      <c r="R49" s="87"/>
      <c r="S49" s="87"/>
      <c r="T49" s="87"/>
      <c r="U49" s="87"/>
      <c r="V49" s="89">
        <v>0</v>
      </c>
    </row>
    <row r="50" spans="1:23" s="26" customFormat="1" ht="14.4" x14ac:dyDescent="0.3">
      <c r="A50" s="147" t="s">
        <v>34</v>
      </c>
      <c r="B50" s="86">
        <v>0</v>
      </c>
      <c r="C50" s="87">
        <v>0</v>
      </c>
      <c r="D50" s="88">
        <v>0</v>
      </c>
      <c r="E50" s="88">
        <v>0</v>
      </c>
      <c r="F50" s="88">
        <v>0</v>
      </c>
      <c r="G50" s="88">
        <v>0</v>
      </c>
      <c r="H50" s="88">
        <v>0</v>
      </c>
      <c r="I50" s="88">
        <v>0</v>
      </c>
      <c r="J50" s="88">
        <v>0</v>
      </c>
      <c r="K50" s="88">
        <v>0</v>
      </c>
      <c r="L50" s="88">
        <v>0</v>
      </c>
      <c r="M50" s="88">
        <v>0</v>
      </c>
      <c r="N50" s="88">
        <v>0</v>
      </c>
      <c r="O50" s="88">
        <v>0</v>
      </c>
      <c r="P50" s="88">
        <v>0</v>
      </c>
      <c r="Q50" s="88">
        <v>0</v>
      </c>
      <c r="R50" s="88">
        <v>0</v>
      </c>
      <c r="S50" s="88">
        <v>0</v>
      </c>
      <c r="T50" s="88">
        <v>0</v>
      </c>
      <c r="U50" s="88">
        <v>0</v>
      </c>
      <c r="V50" s="89">
        <v>0</v>
      </c>
    </row>
    <row r="51" spans="1:23" s="26" customFormat="1" ht="14.4" x14ac:dyDescent="0.3">
      <c r="A51" s="147" t="s">
        <v>35</v>
      </c>
      <c r="B51" s="86">
        <v>0</v>
      </c>
      <c r="C51" s="87">
        <v>0</v>
      </c>
      <c r="D51" s="88">
        <v>0</v>
      </c>
      <c r="E51" s="88">
        <v>0</v>
      </c>
      <c r="F51" s="88">
        <v>1</v>
      </c>
      <c r="G51" s="88">
        <v>0</v>
      </c>
      <c r="H51" s="88">
        <v>0</v>
      </c>
      <c r="I51" s="88">
        <v>0</v>
      </c>
      <c r="J51" s="88">
        <v>1</v>
      </c>
      <c r="K51" s="88">
        <v>1</v>
      </c>
      <c r="L51" s="88">
        <v>0</v>
      </c>
      <c r="M51" s="88">
        <v>1</v>
      </c>
      <c r="N51" s="88">
        <v>2</v>
      </c>
      <c r="O51" s="88">
        <v>1</v>
      </c>
      <c r="P51" s="88">
        <v>0</v>
      </c>
      <c r="Q51" s="88">
        <v>1</v>
      </c>
      <c r="R51" s="88">
        <v>1</v>
      </c>
      <c r="S51" s="88">
        <v>0</v>
      </c>
      <c r="T51" s="88">
        <v>1</v>
      </c>
      <c r="U51" s="88">
        <v>1</v>
      </c>
      <c r="V51" s="89">
        <v>11</v>
      </c>
    </row>
    <row r="52" spans="1:23" s="26" customFormat="1" ht="14.4" x14ac:dyDescent="0.3">
      <c r="A52" s="147" t="s">
        <v>36</v>
      </c>
      <c r="B52" s="94">
        <v>0</v>
      </c>
      <c r="C52" s="95">
        <v>0</v>
      </c>
      <c r="D52" s="96"/>
      <c r="E52" s="96"/>
      <c r="F52" s="96"/>
      <c r="G52" s="96"/>
      <c r="H52" s="96"/>
      <c r="I52" s="96"/>
      <c r="J52" s="96"/>
      <c r="K52" s="96"/>
      <c r="L52" s="96"/>
      <c r="M52" s="96"/>
      <c r="N52" s="96"/>
      <c r="O52" s="96"/>
      <c r="P52" s="96"/>
      <c r="Q52" s="96"/>
      <c r="R52" s="96"/>
      <c r="S52" s="96"/>
      <c r="T52" s="96"/>
      <c r="U52" s="96"/>
      <c r="V52" s="97">
        <v>0</v>
      </c>
    </row>
    <row r="53" spans="1:23" s="26" customFormat="1" ht="14.4" x14ac:dyDescent="0.3">
      <c r="A53" s="148"/>
      <c r="B53" s="98"/>
      <c r="C53" s="98"/>
      <c r="D53" s="99"/>
      <c r="E53" s="99"/>
      <c r="F53" s="99"/>
      <c r="G53" s="99"/>
      <c r="H53" s="99"/>
      <c r="I53" s="99"/>
      <c r="J53" s="99"/>
      <c r="K53" s="99"/>
      <c r="L53" s="99"/>
      <c r="M53" s="99"/>
      <c r="N53" s="99"/>
      <c r="O53" s="99"/>
      <c r="P53" s="99"/>
      <c r="Q53" s="99"/>
      <c r="R53" s="99"/>
      <c r="S53" s="99"/>
      <c r="T53" s="99"/>
      <c r="U53" s="99"/>
      <c r="V53" s="100"/>
    </row>
    <row r="54" spans="1:23" s="26" customFormat="1" ht="14.4" x14ac:dyDescent="0.3">
      <c r="A54" s="145" t="s">
        <v>37</v>
      </c>
      <c r="B54" s="98"/>
      <c r="C54" s="98"/>
      <c r="D54" s="99"/>
      <c r="E54" s="101"/>
      <c r="F54" s="145" t="s">
        <v>37</v>
      </c>
      <c r="G54" s="99"/>
      <c r="H54" s="99"/>
      <c r="I54" s="99"/>
      <c r="J54" s="99"/>
      <c r="K54" s="99"/>
      <c r="L54" s="101"/>
      <c r="M54" s="101"/>
      <c r="N54" s="149" t="s">
        <v>38</v>
      </c>
      <c r="O54" s="99"/>
      <c r="P54" s="99"/>
      <c r="Q54" s="99"/>
      <c r="R54" s="99"/>
      <c r="S54" s="99"/>
      <c r="T54" s="149" t="s">
        <v>39</v>
      </c>
      <c r="U54" s="99"/>
      <c r="V54" s="100"/>
      <c r="W54" s="63"/>
    </row>
    <row r="55" spans="1:23" s="26" customFormat="1" ht="14.4" x14ac:dyDescent="0.3">
      <c r="A55" s="150" t="s">
        <v>62</v>
      </c>
      <c r="B55" s="102"/>
      <c r="C55" s="103">
        <v>0</v>
      </c>
      <c r="D55" s="104"/>
      <c r="E55" s="101"/>
      <c r="F55" s="150" t="s">
        <v>119</v>
      </c>
      <c r="G55" s="105"/>
      <c r="H55" s="106"/>
      <c r="I55" s="106"/>
      <c r="J55" s="107"/>
      <c r="K55" s="108">
        <v>1</v>
      </c>
      <c r="L55" s="101"/>
      <c r="M55" s="101"/>
      <c r="N55" s="151" t="s">
        <v>63</v>
      </c>
      <c r="O55" s="109"/>
      <c r="P55" s="110"/>
      <c r="Q55" s="111"/>
      <c r="R55" s="112">
        <v>1</v>
      </c>
      <c r="S55" s="113" t="s">
        <v>40</v>
      </c>
      <c r="T55" s="151" t="s">
        <v>41</v>
      </c>
      <c r="U55" s="112"/>
      <c r="V55" s="101"/>
      <c r="W55" s="63"/>
    </row>
    <row r="56" spans="1:23" s="26" customFormat="1" ht="14.4" x14ac:dyDescent="0.3">
      <c r="A56" s="152" t="s">
        <v>64</v>
      </c>
      <c r="B56" s="114"/>
      <c r="C56" s="115">
        <v>0</v>
      </c>
      <c r="D56" s="104"/>
      <c r="E56" s="101"/>
      <c r="F56" s="152" t="s">
        <v>65</v>
      </c>
      <c r="G56" s="116"/>
      <c r="H56" s="153"/>
      <c r="I56" s="153"/>
      <c r="J56" s="117"/>
      <c r="K56" s="115">
        <v>0</v>
      </c>
      <c r="L56" s="101"/>
      <c r="M56" s="101"/>
      <c r="N56" s="154" t="s">
        <v>66</v>
      </c>
      <c r="O56" s="118"/>
      <c r="P56" s="119"/>
      <c r="Q56" s="120"/>
      <c r="R56" s="121"/>
      <c r="S56" s="113" t="s">
        <v>42</v>
      </c>
      <c r="T56" s="154" t="s">
        <v>43</v>
      </c>
      <c r="U56" s="121"/>
      <c r="V56" s="101"/>
    </row>
    <row r="57" spans="1:23" s="26" customFormat="1" ht="14.4" x14ac:dyDescent="0.3">
      <c r="A57" s="152" t="s">
        <v>67</v>
      </c>
      <c r="B57" s="114"/>
      <c r="C57" s="115">
        <v>0</v>
      </c>
      <c r="D57" s="104"/>
      <c r="E57" s="101"/>
      <c r="F57" s="152" t="s">
        <v>68</v>
      </c>
      <c r="G57" s="116"/>
      <c r="H57" s="122"/>
      <c r="I57" s="122"/>
      <c r="J57" s="117"/>
      <c r="K57" s="115">
        <v>0</v>
      </c>
      <c r="L57" s="101"/>
      <c r="M57" s="101"/>
      <c r="N57" s="154" t="s">
        <v>69</v>
      </c>
      <c r="O57" s="118"/>
      <c r="P57" s="119"/>
      <c r="Q57" s="120"/>
      <c r="R57" s="121"/>
      <c r="S57" s="113" t="s">
        <v>44</v>
      </c>
      <c r="T57" s="154" t="s">
        <v>45</v>
      </c>
      <c r="U57" s="121"/>
      <c r="V57" s="101"/>
      <c r="W57" s="62"/>
    </row>
    <row r="58" spans="1:23" s="26" customFormat="1" ht="14.4" x14ac:dyDescent="0.3">
      <c r="A58" s="152" t="s">
        <v>70</v>
      </c>
      <c r="B58" s="114"/>
      <c r="C58" s="115">
        <v>0</v>
      </c>
      <c r="D58" s="104"/>
      <c r="E58" s="101"/>
      <c r="F58" s="152" t="s">
        <v>71</v>
      </c>
      <c r="G58" s="116"/>
      <c r="H58" s="122"/>
      <c r="I58" s="122"/>
      <c r="J58" s="117"/>
      <c r="K58" s="115">
        <v>0</v>
      </c>
      <c r="L58" s="101"/>
      <c r="M58" s="101"/>
      <c r="N58" s="154" t="s">
        <v>72</v>
      </c>
      <c r="O58" s="118"/>
      <c r="P58" s="119"/>
      <c r="Q58" s="120"/>
      <c r="R58" s="121"/>
      <c r="S58" s="113" t="s">
        <v>46</v>
      </c>
      <c r="T58" s="154" t="s">
        <v>47</v>
      </c>
      <c r="U58" s="121"/>
      <c r="V58" s="101"/>
    </row>
    <row r="59" spans="1:23" s="26" customFormat="1" ht="14.4" x14ac:dyDescent="0.3">
      <c r="A59" s="155" t="s">
        <v>73</v>
      </c>
      <c r="B59" s="123"/>
      <c r="C59" s="124">
        <v>0</v>
      </c>
      <c r="D59" s="104"/>
      <c r="E59" s="101"/>
      <c r="F59" s="152" t="s">
        <v>74</v>
      </c>
      <c r="G59" s="116"/>
      <c r="H59" s="122"/>
      <c r="I59" s="122"/>
      <c r="J59" s="117"/>
      <c r="K59" s="115">
        <v>0</v>
      </c>
      <c r="L59" s="101"/>
      <c r="M59" s="101"/>
      <c r="N59" s="154" t="s">
        <v>75</v>
      </c>
      <c r="O59" s="118"/>
      <c r="P59" s="119"/>
      <c r="Q59" s="120"/>
      <c r="R59" s="121"/>
      <c r="S59" s="113" t="s">
        <v>48</v>
      </c>
      <c r="T59" s="156" t="s">
        <v>49</v>
      </c>
      <c r="U59" s="125"/>
      <c r="V59" s="126"/>
    </row>
    <row r="60" spans="1:23" s="26" customFormat="1" ht="14.4" x14ac:dyDescent="0.3">
      <c r="A60" s="150" t="s">
        <v>76</v>
      </c>
      <c r="B60" s="102"/>
      <c r="C60" s="127">
        <v>0</v>
      </c>
      <c r="D60" s="104"/>
      <c r="E60" s="101"/>
      <c r="F60" s="152" t="s">
        <v>77</v>
      </c>
      <c r="G60" s="116"/>
      <c r="H60" s="122"/>
      <c r="I60" s="122"/>
      <c r="J60" s="117"/>
      <c r="K60" s="115">
        <v>0</v>
      </c>
      <c r="L60" s="101"/>
      <c r="M60" s="101"/>
      <c r="N60" s="154" t="s">
        <v>78</v>
      </c>
      <c r="O60" s="118"/>
      <c r="P60" s="119"/>
      <c r="Q60" s="120"/>
      <c r="R60" s="121">
        <v>0</v>
      </c>
      <c r="S60" s="113" t="s">
        <v>50</v>
      </c>
      <c r="T60" s="126"/>
      <c r="U60" s="126"/>
      <c r="V60" s="126"/>
    </row>
    <row r="61" spans="1:23" s="26" customFormat="1" ht="15.6" x14ac:dyDescent="0.3">
      <c r="A61" s="152" t="s">
        <v>79</v>
      </c>
      <c r="B61" s="114"/>
      <c r="C61" s="115">
        <v>0</v>
      </c>
      <c r="D61" s="104"/>
      <c r="E61" s="101"/>
      <c r="F61" s="152" t="s">
        <v>80</v>
      </c>
      <c r="G61" s="116"/>
      <c r="H61" s="122"/>
      <c r="I61" s="122"/>
      <c r="J61" s="117"/>
      <c r="K61" s="115">
        <v>0</v>
      </c>
      <c r="L61" s="101"/>
      <c r="M61" s="101"/>
      <c r="N61" s="154" t="s">
        <v>81</v>
      </c>
      <c r="O61" s="118"/>
      <c r="P61" s="119"/>
      <c r="Q61" s="120"/>
      <c r="R61" s="121">
        <v>0</v>
      </c>
      <c r="S61" s="113" t="s">
        <v>51</v>
      </c>
      <c r="T61" s="126"/>
      <c r="U61" s="329"/>
      <c r="V61" s="329"/>
    </row>
    <row r="62" spans="1:23" ht="14.4" x14ac:dyDescent="0.3">
      <c r="A62" s="152" t="s">
        <v>82</v>
      </c>
      <c r="B62" s="114"/>
      <c r="C62" s="115">
        <v>0</v>
      </c>
      <c r="D62" s="104"/>
      <c r="E62" s="101"/>
      <c r="F62" s="152" t="s">
        <v>83</v>
      </c>
      <c r="G62" s="116"/>
      <c r="H62" s="122"/>
      <c r="I62" s="122"/>
      <c r="J62" s="117"/>
      <c r="K62" s="115">
        <v>0</v>
      </c>
      <c r="L62" s="101"/>
      <c r="M62" s="101"/>
      <c r="N62" s="154" t="s">
        <v>84</v>
      </c>
      <c r="O62" s="118"/>
      <c r="P62" s="119"/>
      <c r="Q62" s="120"/>
      <c r="R62" s="121">
        <v>0</v>
      </c>
      <c r="S62" s="113" t="s">
        <v>52</v>
      </c>
      <c r="T62" s="99"/>
      <c r="U62" s="99"/>
      <c r="V62" s="101"/>
    </row>
    <row r="63" spans="1:23" ht="14.4" x14ac:dyDescent="0.3">
      <c r="A63" s="152" t="s">
        <v>85</v>
      </c>
      <c r="B63" s="114"/>
      <c r="C63" s="115">
        <v>0</v>
      </c>
      <c r="D63" s="104"/>
      <c r="E63" s="101"/>
      <c r="F63" s="152" t="s">
        <v>86</v>
      </c>
      <c r="G63" s="116"/>
      <c r="H63" s="122"/>
      <c r="I63" s="122"/>
      <c r="J63" s="117"/>
      <c r="K63" s="115">
        <v>0</v>
      </c>
      <c r="L63" s="101"/>
      <c r="M63" s="101"/>
      <c r="N63" s="154" t="s">
        <v>87</v>
      </c>
      <c r="O63" s="118"/>
      <c r="P63" s="119"/>
      <c r="Q63" s="120"/>
      <c r="R63" s="121">
        <v>0</v>
      </c>
      <c r="S63" s="113" t="s">
        <v>53</v>
      </c>
      <c r="T63" s="99"/>
      <c r="U63" s="99"/>
      <c r="V63" s="101"/>
    </row>
    <row r="64" spans="1:23" ht="14.4" x14ac:dyDescent="0.3">
      <c r="A64" s="155" t="s">
        <v>88</v>
      </c>
      <c r="B64" s="123"/>
      <c r="C64" s="124">
        <v>0</v>
      </c>
      <c r="D64" s="104"/>
      <c r="E64" s="101"/>
      <c r="F64" s="155" t="s">
        <v>89</v>
      </c>
      <c r="G64" s="128"/>
      <c r="H64" s="129"/>
      <c r="I64" s="129"/>
      <c r="J64" s="130"/>
      <c r="K64" s="131">
        <v>0</v>
      </c>
      <c r="L64" s="101"/>
      <c r="M64" s="101"/>
      <c r="N64" s="156" t="s">
        <v>90</v>
      </c>
      <c r="O64" s="132"/>
      <c r="P64" s="133"/>
      <c r="Q64" s="134"/>
      <c r="R64" s="125">
        <v>0</v>
      </c>
      <c r="S64" s="113" t="s">
        <v>54</v>
      </c>
      <c r="T64" s="99"/>
      <c r="U64" s="99"/>
      <c r="V64" s="101"/>
    </row>
    <row r="65" spans="1:22" ht="14.4" x14ac:dyDescent="0.3">
      <c r="A65" s="150" t="s">
        <v>109</v>
      </c>
      <c r="B65" s="135"/>
      <c r="C65" s="108">
        <v>1</v>
      </c>
      <c r="D65" s="104"/>
      <c r="E65" s="101"/>
      <c r="F65" s="150" t="s">
        <v>91</v>
      </c>
      <c r="G65" s="102"/>
      <c r="H65" s="106"/>
      <c r="I65" s="106"/>
      <c r="J65" s="135"/>
      <c r="K65" s="103">
        <v>0</v>
      </c>
      <c r="L65" s="101"/>
      <c r="M65" s="101"/>
      <c r="N65" s="157" t="s">
        <v>55</v>
      </c>
      <c r="O65" s="132"/>
      <c r="P65" s="133"/>
      <c r="Q65" s="134"/>
      <c r="R65" s="125">
        <v>1</v>
      </c>
      <c r="S65" s="99"/>
      <c r="T65" s="99"/>
      <c r="U65" s="99"/>
      <c r="V65" s="158"/>
    </row>
    <row r="66" spans="1:22" ht="14.4" x14ac:dyDescent="0.3">
      <c r="A66" s="152" t="s">
        <v>110</v>
      </c>
      <c r="B66" s="159"/>
      <c r="C66" s="115">
        <v>1</v>
      </c>
      <c r="D66" s="104"/>
      <c r="E66" s="158"/>
      <c r="F66" s="152" t="s">
        <v>92</v>
      </c>
      <c r="G66" s="114"/>
      <c r="H66" s="153"/>
      <c r="I66" s="153"/>
      <c r="J66" s="159"/>
      <c r="K66" s="115">
        <v>0</v>
      </c>
      <c r="L66" s="158"/>
      <c r="M66" s="158"/>
      <c r="N66" s="99"/>
      <c r="O66" s="99"/>
      <c r="P66" s="99"/>
      <c r="Q66" s="101"/>
      <c r="R66" s="158"/>
      <c r="S66" s="99"/>
      <c r="T66" s="99"/>
      <c r="U66" s="99"/>
      <c r="V66" s="101"/>
    </row>
    <row r="67" spans="1:22" ht="14.4" x14ac:dyDescent="0.3">
      <c r="A67" s="152" t="s">
        <v>111</v>
      </c>
      <c r="B67" s="136"/>
      <c r="C67" s="115">
        <v>1</v>
      </c>
      <c r="D67" s="104"/>
      <c r="E67" s="101"/>
      <c r="F67" s="152" t="s">
        <v>93</v>
      </c>
      <c r="G67" s="114"/>
      <c r="H67" s="122"/>
      <c r="I67" s="122"/>
      <c r="J67" s="136"/>
      <c r="K67" s="115">
        <v>0</v>
      </c>
      <c r="L67" s="101"/>
      <c r="M67" s="101"/>
      <c r="N67" s="137" t="s">
        <v>56</v>
      </c>
      <c r="O67" s="101"/>
      <c r="P67" s="101"/>
      <c r="Q67" s="101"/>
      <c r="R67" s="101"/>
      <c r="S67" s="99"/>
      <c r="T67" s="99"/>
      <c r="U67" s="99"/>
      <c r="V67" s="101"/>
    </row>
    <row r="68" spans="1:22" ht="14.4" x14ac:dyDescent="0.3">
      <c r="A68" s="152" t="s">
        <v>112</v>
      </c>
      <c r="B68" s="136"/>
      <c r="C68" s="115">
        <v>0</v>
      </c>
      <c r="D68" s="104"/>
      <c r="E68" s="101"/>
      <c r="F68" s="152" t="s">
        <v>94</v>
      </c>
      <c r="G68" s="114"/>
      <c r="H68" s="122"/>
      <c r="I68" s="122"/>
      <c r="J68" s="136"/>
      <c r="K68" s="115">
        <v>0</v>
      </c>
      <c r="L68" s="101"/>
      <c r="M68" s="101"/>
      <c r="N68" s="151" t="s">
        <v>108</v>
      </c>
      <c r="O68" s="109"/>
      <c r="P68" s="110"/>
      <c r="Q68" s="111"/>
      <c r="R68" s="112">
        <v>1</v>
      </c>
      <c r="S68" s="99"/>
      <c r="T68" s="99"/>
      <c r="U68" s="99"/>
      <c r="V68" s="101"/>
    </row>
    <row r="69" spans="1:22" ht="14.4" x14ac:dyDescent="0.3">
      <c r="A69" s="152" t="s">
        <v>113</v>
      </c>
      <c r="B69" s="136"/>
      <c r="C69" s="115">
        <v>0</v>
      </c>
      <c r="D69" s="104"/>
      <c r="E69" s="101"/>
      <c r="F69" s="155" t="s">
        <v>95</v>
      </c>
      <c r="G69" s="123"/>
      <c r="H69" s="129"/>
      <c r="I69" s="129"/>
      <c r="J69" s="138"/>
      <c r="K69" s="124">
        <v>0</v>
      </c>
      <c r="L69" s="101"/>
      <c r="M69" s="101"/>
      <c r="N69" s="154" t="s">
        <v>57</v>
      </c>
      <c r="O69" s="118"/>
      <c r="P69" s="119"/>
      <c r="Q69" s="120"/>
      <c r="R69" s="121"/>
      <c r="S69" s="99"/>
      <c r="T69" s="99"/>
      <c r="U69" s="99"/>
      <c r="V69" s="101"/>
    </row>
    <row r="70" spans="1:22" ht="14.4" x14ac:dyDescent="0.3">
      <c r="A70" s="152" t="s">
        <v>114</v>
      </c>
      <c r="B70" s="136"/>
      <c r="C70" s="115">
        <v>0</v>
      </c>
      <c r="D70" s="98"/>
      <c r="E70" s="101"/>
      <c r="F70" s="101"/>
      <c r="G70" s="101"/>
      <c r="H70" s="101"/>
      <c r="I70" s="101"/>
      <c r="J70" s="101"/>
      <c r="K70" s="101"/>
      <c r="L70" s="101"/>
      <c r="M70" s="101"/>
      <c r="N70" s="154" t="s">
        <v>58</v>
      </c>
      <c r="O70" s="118"/>
      <c r="P70" s="119"/>
      <c r="Q70" s="120"/>
      <c r="R70" s="121">
        <v>0</v>
      </c>
      <c r="S70" s="99"/>
      <c r="T70" s="99"/>
      <c r="U70" s="99"/>
      <c r="V70" s="101"/>
    </row>
    <row r="71" spans="1:22" ht="14.4" x14ac:dyDescent="0.3">
      <c r="A71" s="152" t="s">
        <v>115</v>
      </c>
      <c r="B71" s="136"/>
      <c r="C71" s="115">
        <v>0</v>
      </c>
      <c r="D71" s="98"/>
      <c r="E71" s="101"/>
      <c r="F71" s="101"/>
      <c r="G71" s="101"/>
      <c r="H71" s="101"/>
      <c r="I71" s="101"/>
      <c r="J71" s="101"/>
      <c r="K71" s="101"/>
      <c r="L71" s="101"/>
      <c r="M71" s="101"/>
      <c r="N71" s="154" t="s">
        <v>59</v>
      </c>
      <c r="O71" s="118"/>
      <c r="P71" s="119"/>
      <c r="Q71" s="120"/>
      <c r="R71" s="121">
        <v>0</v>
      </c>
      <c r="S71" s="99"/>
      <c r="T71" s="99"/>
      <c r="U71" s="99"/>
      <c r="V71" s="101"/>
    </row>
    <row r="72" spans="1:22" ht="14.4" x14ac:dyDescent="0.3">
      <c r="A72" s="152" t="s">
        <v>116</v>
      </c>
      <c r="B72" s="136"/>
      <c r="C72" s="115"/>
      <c r="D72" s="98"/>
      <c r="E72" s="101"/>
      <c r="F72" s="149" t="s">
        <v>39</v>
      </c>
      <c r="G72" s="101"/>
      <c r="H72" s="101"/>
      <c r="I72" s="101"/>
      <c r="J72" s="101"/>
      <c r="K72" s="101"/>
      <c r="L72" s="101"/>
      <c r="M72" s="101"/>
      <c r="N72" s="154" t="s">
        <v>60</v>
      </c>
      <c r="O72" s="118"/>
      <c r="P72" s="119"/>
      <c r="Q72" s="120"/>
      <c r="R72" s="121">
        <v>0</v>
      </c>
      <c r="S72" s="99"/>
      <c r="T72" s="99"/>
      <c r="U72" s="99"/>
      <c r="V72" s="101"/>
    </row>
    <row r="73" spans="1:22" ht="14.4" x14ac:dyDescent="0.3">
      <c r="A73" s="152" t="s">
        <v>117</v>
      </c>
      <c r="B73" s="136"/>
      <c r="C73" s="115"/>
      <c r="D73" s="98"/>
      <c r="E73" s="101"/>
      <c r="F73" s="160" t="s">
        <v>96</v>
      </c>
      <c r="G73" s="139"/>
      <c r="H73" s="139"/>
      <c r="I73" s="139"/>
      <c r="J73" s="139"/>
      <c r="K73" s="140">
        <v>0</v>
      </c>
      <c r="L73" s="101"/>
      <c r="M73" s="101"/>
      <c r="N73" s="156" t="s">
        <v>61</v>
      </c>
      <c r="O73" s="132"/>
      <c r="P73" s="133"/>
      <c r="Q73" s="134"/>
      <c r="R73" s="125">
        <v>0</v>
      </c>
      <c r="S73" s="99"/>
      <c r="T73" s="99"/>
      <c r="U73" s="99"/>
      <c r="V73" s="101"/>
    </row>
    <row r="74" spans="1:22" ht="14.4" x14ac:dyDescent="0.3">
      <c r="A74" s="155" t="s">
        <v>118</v>
      </c>
      <c r="B74" s="138"/>
      <c r="C74" s="131">
        <v>1</v>
      </c>
      <c r="D74" s="98"/>
      <c r="E74" s="101"/>
      <c r="F74" s="160" t="s">
        <v>97</v>
      </c>
      <c r="G74" s="139"/>
      <c r="H74" s="139"/>
      <c r="I74" s="139"/>
      <c r="J74" s="139"/>
      <c r="K74" s="140"/>
      <c r="L74" s="99"/>
      <c r="M74" s="99"/>
      <c r="N74" s="101"/>
      <c r="O74" s="101"/>
      <c r="P74" s="101"/>
      <c r="Q74" s="99"/>
      <c r="R74" s="99"/>
      <c r="S74" s="99"/>
      <c r="T74" s="99"/>
      <c r="U74" s="99"/>
      <c r="V74" s="101"/>
    </row>
  </sheetData>
  <mergeCells count="1">
    <mergeCell ref="U61:V61"/>
  </mergeCells>
  <conditionalFormatting sqref="A11 H1:J2 E1:F2 A1:B4 B5:B11 C1:D11 A23:A24 E22:F24 E6:E12">
    <cfRule type="cellIs" dxfId="21" priority="9" stopIfTrue="1" operator="equal">
      <formula>"NA"</formula>
    </cfRule>
  </conditionalFormatting>
  <conditionalFormatting sqref="D8:D9 D12">
    <cfRule type="cellIs" dxfId="20" priority="10" stopIfTrue="1" operator="equal">
      <formula>"NA"</formula>
    </cfRule>
    <cfRule type="cellIs" dxfId="19" priority="11" stopIfTrue="1" operator="greaterThan">
      <formula>0</formula>
    </cfRule>
  </conditionalFormatting>
  <conditionalFormatting sqref="F6:F12">
    <cfRule type="cellIs" dxfId="18" priority="8" stopIfTrue="1" operator="equal">
      <formula>"NA"</formula>
    </cfRule>
  </conditionalFormatting>
  <conditionalFormatting sqref="E3:J3 E5">
    <cfRule type="cellIs" dxfId="17" priority="7" stopIfTrue="1" operator="equal">
      <formula>"NA"</formula>
    </cfRule>
  </conditionalFormatting>
  <conditionalFormatting sqref="F5">
    <cfRule type="cellIs" dxfId="16" priority="6" stopIfTrue="1" operator="equal">
      <formula>"NA"</formula>
    </cfRule>
  </conditionalFormatting>
  <conditionalFormatting sqref="G5:N5">
    <cfRule type="cellIs" dxfId="15" priority="5" stopIfTrue="1" operator="equal">
      <formula>"NA"</formula>
    </cfRule>
  </conditionalFormatting>
  <conditionalFormatting sqref="A41 A36:A38">
    <cfRule type="cellIs" dxfId="14" priority="4" stopIfTrue="1" operator="equal">
      <formula>"NA"</formula>
    </cfRule>
  </conditionalFormatting>
  <conditionalFormatting sqref="B43:B52 C43:C51">
    <cfRule type="cellIs" dxfId="13" priority="3" operator="greaterThan">
      <formula>0</formula>
    </cfRule>
  </conditionalFormatting>
  <conditionalFormatting sqref="B52:C52">
    <cfRule type="cellIs" dxfId="12" priority="2" operator="greaterThan">
      <formula>0</formula>
    </cfRule>
  </conditionalFormatting>
  <conditionalFormatting sqref="C1">
    <cfRule type="cellIs" dxfId="11" priority="1" stopIfTrue="1" operator="equal">
      <formula>"NA"</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3:E13"/>
  <sheetViews>
    <sheetView workbookViewId="0">
      <selection activeCell="C5" sqref="C5"/>
    </sheetView>
  </sheetViews>
  <sheetFormatPr defaultRowHeight="14.4" x14ac:dyDescent="0.3"/>
  <cols>
    <col min="2" max="2" width="32.109375" bestFit="1" customWidth="1"/>
    <col min="3" max="3" width="11" bestFit="1" customWidth="1"/>
    <col min="4" max="4" width="11.6640625" bestFit="1" customWidth="1"/>
    <col min="5" max="5" width="9.6640625" bestFit="1" customWidth="1"/>
  </cols>
  <sheetData>
    <row r="3" spans="2:5" ht="15.75" x14ac:dyDescent="0.25">
      <c r="C3" s="23" t="s">
        <v>3</v>
      </c>
      <c r="D3" s="23" t="s">
        <v>3</v>
      </c>
    </row>
    <row r="4" spans="2:5" ht="15.75" x14ac:dyDescent="0.25">
      <c r="B4" s="15" t="s">
        <v>2</v>
      </c>
      <c r="C4" s="164" t="s">
        <v>101</v>
      </c>
      <c r="D4" s="165" t="s">
        <v>102</v>
      </c>
      <c r="E4" t="s">
        <v>103</v>
      </c>
    </row>
    <row r="5" spans="2:5" ht="15" x14ac:dyDescent="0.25">
      <c r="B5" s="21" t="s">
        <v>5</v>
      </c>
      <c r="C5" s="22">
        <f>'Base Data'!B5</f>
        <v>1222136.1672029479</v>
      </c>
      <c r="D5" s="22">
        <f>'Base with Jefferson County'!B5</f>
        <v>1243005.8596503173</v>
      </c>
      <c r="E5" s="1">
        <f>D5-C5</f>
        <v>20869.692447369453</v>
      </c>
    </row>
    <row r="6" spans="2:5" ht="15" x14ac:dyDescent="0.25">
      <c r="B6" s="27" t="s">
        <v>6</v>
      </c>
      <c r="C6" s="22">
        <f>'Base Data'!B6</f>
        <v>0</v>
      </c>
      <c r="D6" s="22">
        <f>'Base with Jefferson County'!B6</f>
        <v>0</v>
      </c>
      <c r="E6" s="1">
        <f t="shared" ref="E6:E11" si="0">D6-C6</f>
        <v>0</v>
      </c>
    </row>
    <row r="7" spans="2:5" ht="15" x14ac:dyDescent="0.25">
      <c r="B7" s="27" t="s">
        <v>7</v>
      </c>
      <c r="C7" s="22">
        <f>'Base Data'!B7</f>
        <v>3345887.3664812841</v>
      </c>
      <c r="D7" s="22">
        <f>'Base with Jefferson County'!B7</f>
        <v>3345887.3664812841</v>
      </c>
      <c r="E7" s="1">
        <f t="shared" si="0"/>
        <v>0</v>
      </c>
    </row>
    <row r="8" spans="2:5" ht="15" x14ac:dyDescent="0.25">
      <c r="B8" s="27" t="s">
        <v>8</v>
      </c>
      <c r="C8" s="22">
        <f>'Base Data'!B8</f>
        <v>5550956.6494938247</v>
      </c>
      <c r="D8" s="22">
        <f>'Base with Jefferson County'!B8</f>
        <v>6019142.0219716579</v>
      </c>
      <c r="E8" s="1">
        <f t="shared" si="0"/>
        <v>468185.37247783318</v>
      </c>
    </row>
    <row r="9" spans="2:5" ht="15" x14ac:dyDescent="0.25">
      <c r="B9" s="27" t="s">
        <v>9</v>
      </c>
      <c r="C9" s="22">
        <f>'Base Data'!B9</f>
        <v>1683817.0300550289</v>
      </c>
      <c r="D9" s="22">
        <f>'Base with Jefferson County'!B9</f>
        <v>1683817.0300550289</v>
      </c>
      <c r="E9" s="1">
        <f t="shared" si="0"/>
        <v>0</v>
      </c>
    </row>
    <row r="10" spans="2:5" ht="15" x14ac:dyDescent="0.25">
      <c r="B10" s="27" t="s">
        <v>4</v>
      </c>
      <c r="C10" s="22">
        <f>'Base Data'!B10</f>
        <v>-21299.119628025415</v>
      </c>
      <c r="D10" s="22">
        <f>'Base with Jefferson County'!B10</f>
        <v>-18357.357658336405</v>
      </c>
      <c r="E10" s="1">
        <f t="shared" si="0"/>
        <v>2941.7619696890106</v>
      </c>
    </row>
    <row r="11" spans="2:5" ht="15" x14ac:dyDescent="0.25">
      <c r="B11" s="31" t="s">
        <v>10</v>
      </c>
      <c r="C11" s="22">
        <f>'Base Data'!B11</f>
        <v>11781498.09360506</v>
      </c>
      <c r="D11" s="22">
        <f>'Base with Jefferson County'!B11</f>
        <v>12273494.920499953</v>
      </c>
      <c r="E11" s="1">
        <f t="shared" si="0"/>
        <v>491996.82689489238</v>
      </c>
    </row>
    <row r="13" spans="2:5" ht="15" x14ac:dyDescent="0.25">
      <c r="B13" s="169"/>
      <c r="E13" s="1"/>
    </row>
  </sheetData>
  <conditionalFormatting sqref="B11 B4 C3 C5:C11">
    <cfRule type="cellIs" dxfId="10" priority="3" stopIfTrue="1" operator="equal">
      <formula>"NA"</formula>
    </cfRule>
  </conditionalFormatting>
  <conditionalFormatting sqref="D5:D11">
    <cfRule type="cellIs" dxfId="9" priority="2" stopIfTrue="1" operator="equal">
      <formula>"NA"</formula>
    </cfRule>
  </conditionalFormatting>
  <conditionalFormatting sqref="D3">
    <cfRule type="cellIs" dxfId="8" priority="1" stopIfTrue="1" operator="equal">
      <formula>"NA"</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E3:Z73"/>
  <sheetViews>
    <sheetView topLeftCell="B1" workbookViewId="0">
      <selection activeCell="E3" sqref="E3"/>
    </sheetView>
  </sheetViews>
  <sheetFormatPr defaultRowHeight="14.4" x14ac:dyDescent="0.3"/>
  <cols>
    <col min="5" max="5" width="28.88671875" bestFit="1" customWidth="1"/>
    <col min="6" max="7" width="16.109375" customWidth="1"/>
    <col min="8" max="26" width="6.109375" customWidth="1"/>
  </cols>
  <sheetData>
    <row r="3" spans="5:7" ht="15" x14ac:dyDescent="0.25">
      <c r="F3" t="s">
        <v>101</v>
      </c>
      <c r="G3" t="s">
        <v>145</v>
      </c>
    </row>
    <row r="4" spans="5:7" ht="15" x14ac:dyDescent="0.25">
      <c r="E4" t="s">
        <v>11</v>
      </c>
      <c r="F4" t="s">
        <v>12</v>
      </c>
      <c r="G4" s="195" t="s">
        <v>12</v>
      </c>
    </row>
    <row r="5" spans="5:7" ht="15" x14ac:dyDescent="0.25">
      <c r="E5" t="s">
        <v>5</v>
      </c>
      <c r="F5" s="163">
        <v>1222136.1672029479</v>
      </c>
      <c r="G5" s="196">
        <v>1066541.0348757405</v>
      </c>
    </row>
    <row r="6" spans="5:7" ht="15" x14ac:dyDescent="0.25">
      <c r="E6" t="s">
        <v>6</v>
      </c>
      <c r="F6" s="163">
        <v>0</v>
      </c>
      <c r="G6" s="196">
        <v>0</v>
      </c>
    </row>
    <row r="7" spans="5:7" ht="15" x14ac:dyDescent="0.25">
      <c r="E7" t="s">
        <v>13</v>
      </c>
      <c r="F7" s="163">
        <v>3437539.1495211665</v>
      </c>
      <c r="G7" s="196">
        <v>3437539.1495211665</v>
      </c>
    </row>
    <row r="8" spans="5:7" ht="15" x14ac:dyDescent="0.25">
      <c r="E8" t="s">
        <v>14</v>
      </c>
      <c r="F8" s="163">
        <v>0</v>
      </c>
      <c r="G8" s="196">
        <v>0</v>
      </c>
    </row>
    <row r="9" spans="5:7" ht="15" x14ac:dyDescent="0.25">
      <c r="E9" t="s">
        <v>8</v>
      </c>
      <c r="F9" s="163">
        <v>2713953.2524358565</v>
      </c>
      <c r="G9" s="196">
        <v>3053146.6207557223</v>
      </c>
    </row>
    <row r="10" spans="5:7" ht="15" x14ac:dyDescent="0.25">
      <c r="E10" t="s">
        <v>4</v>
      </c>
      <c r="F10" s="163">
        <v>-21299.119628025415</v>
      </c>
      <c r="G10" s="196">
        <v>-18357.377928685837</v>
      </c>
    </row>
    <row r="11" spans="5:7" ht="15" x14ac:dyDescent="0.25">
      <c r="E11" t="s">
        <v>9</v>
      </c>
      <c r="F11" s="163">
        <v>1683817.0300550282</v>
      </c>
      <c r="G11" s="196">
        <v>1683817.0300550282</v>
      </c>
    </row>
    <row r="12" spans="5:7" ht="15" x14ac:dyDescent="0.25">
      <c r="E12" t="s">
        <v>15</v>
      </c>
      <c r="F12" s="163">
        <v>9036146.4795869738</v>
      </c>
      <c r="G12" s="196">
        <v>9222686.4572789706</v>
      </c>
    </row>
    <row r="18" spans="5:26" ht="26.25" x14ac:dyDescent="0.4">
      <c r="E18" s="161" t="s">
        <v>98</v>
      </c>
      <c r="F18" s="26"/>
      <c r="G18" s="26"/>
      <c r="H18" s="62"/>
      <c r="I18" s="62"/>
      <c r="J18" s="62"/>
      <c r="K18" s="62"/>
      <c r="L18" s="62"/>
      <c r="M18" s="62"/>
      <c r="N18" s="62"/>
      <c r="O18" s="62"/>
      <c r="P18" s="62"/>
      <c r="Q18" s="62"/>
      <c r="R18" s="62"/>
      <c r="S18" s="62"/>
      <c r="T18" s="62"/>
      <c r="U18" s="62"/>
      <c r="V18" s="62"/>
      <c r="W18" s="62"/>
      <c r="X18" s="62"/>
      <c r="Y18" s="62"/>
      <c r="Z18" s="62"/>
    </row>
    <row r="19" spans="5:26" ht="23.25" x14ac:dyDescent="0.35">
      <c r="E19" s="65" t="s">
        <v>0</v>
      </c>
      <c r="F19" s="66"/>
      <c r="G19" s="66"/>
      <c r="H19" s="66"/>
      <c r="I19" s="66"/>
      <c r="J19" s="66"/>
      <c r="K19" s="66"/>
      <c r="L19" s="66"/>
      <c r="M19" s="66"/>
      <c r="N19" s="66"/>
      <c r="O19" s="66"/>
      <c r="P19" s="66"/>
      <c r="Q19" s="67"/>
      <c r="R19" s="66"/>
      <c r="S19" s="66"/>
      <c r="T19" s="66"/>
      <c r="U19" s="66"/>
      <c r="V19" s="66"/>
      <c r="W19" s="66"/>
      <c r="X19" s="66"/>
      <c r="Y19" s="66"/>
      <c r="Z19" s="66"/>
    </row>
    <row r="20" spans="5:26" ht="21" x14ac:dyDescent="0.35">
      <c r="E20" s="141" t="s">
        <v>1</v>
      </c>
      <c r="F20" s="68"/>
      <c r="G20" s="68"/>
      <c r="H20" s="68"/>
      <c r="I20" s="68"/>
      <c r="J20" s="68"/>
      <c r="K20" s="142"/>
      <c r="L20" s="142"/>
      <c r="M20" s="142"/>
      <c r="N20" s="142"/>
      <c r="O20" s="142"/>
      <c r="P20" s="142"/>
      <c r="Q20" s="68"/>
      <c r="R20" s="68"/>
      <c r="S20" s="68"/>
      <c r="T20" s="68"/>
      <c r="U20" s="68"/>
      <c r="V20" s="68"/>
      <c r="W20" s="68"/>
      <c r="X20" s="68"/>
      <c r="Y20" s="68"/>
      <c r="Z20" s="68"/>
    </row>
    <row r="21" spans="5:26" ht="15.75" x14ac:dyDescent="0.25">
      <c r="E21" s="69" t="s">
        <v>101</v>
      </c>
      <c r="F21" s="68"/>
      <c r="G21" s="68"/>
      <c r="H21" s="68"/>
      <c r="I21" s="68"/>
      <c r="J21" s="68"/>
      <c r="K21" s="194"/>
      <c r="L21" s="174"/>
      <c r="M21" s="174"/>
      <c r="N21" s="72"/>
      <c r="O21" s="142"/>
      <c r="P21" s="142"/>
      <c r="Q21" s="68"/>
      <c r="R21" s="68"/>
      <c r="S21" s="68"/>
      <c r="T21" s="68"/>
      <c r="U21" s="68"/>
      <c r="V21" s="68"/>
      <c r="W21" s="68"/>
      <c r="X21" s="68"/>
      <c r="Y21" s="68"/>
      <c r="Z21" s="68"/>
    </row>
    <row r="22" spans="5:26" ht="15.75" x14ac:dyDescent="0.25">
      <c r="E22" s="143" t="s">
        <v>24</v>
      </c>
      <c r="F22" s="144"/>
      <c r="G22" s="73"/>
      <c r="H22" s="74"/>
      <c r="I22" s="75"/>
      <c r="J22" s="73"/>
      <c r="K22" s="194"/>
      <c r="L22" s="174"/>
      <c r="M22" s="174"/>
      <c r="N22" s="76"/>
      <c r="O22" s="142"/>
      <c r="P22" s="142"/>
      <c r="Q22" s="68"/>
      <c r="R22" s="68"/>
      <c r="S22" s="68"/>
      <c r="T22" s="68"/>
      <c r="U22" s="68"/>
      <c r="V22" s="68"/>
      <c r="W22" s="68"/>
      <c r="X22" s="68"/>
      <c r="Y22" s="68"/>
      <c r="Z22" s="68"/>
    </row>
    <row r="23" spans="5:26" ht="15.75" x14ac:dyDescent="0.25">
      <c r="E23" s="77">
        <v>11781498.09360506</v>
      </c>
      <c r="F23" s="75"/>
      <c r="G23" s="194"/>
      <c r="H23" s="79"/>
      <c r="I23" s="75"/>
      <c r="J23" s="194"/>
      <c r="K23" s="194"/>
      <c r="L23" s="174"/>
      <c r="M23" s="174"/>
      <c r="N23" s="142"/>
      <c r="O23" s="142"/>
      <c r="P23" s="142"/>
      <c r="Q23" s="68"/>
      <c r="R23" s="68"/>
      <c r="S23" s="68"/>
      <c r="T23" s="68"/>
      <c r="U23" s="68"/>
      <c r="V23" s="68"/>
      <c r="W23" s="68"/>
      <c r="X23" s="68"/>
      <c r="Y23" s="68"/>
      <c r="Z23" s="68"/>
    </row>
    <row r="24" spans="5:26" ht="15.75" x14ac:dyDescent="0.25">
      <c r="E24" s="69"/>
      <c r="F24" s="68"/>
      <c r="G24" s="68"/>
      <c r="H24" s="68"/>
      <c r="I24" s="68"/>
      <c r="J24" s="68"/>
      <c r="K24" s="194"/>
      <c r="L24" s="174"/>
      <c r="M24" s="174"/>
      <c r="N24" s="142"/>
      <c r="O24" s="142"/>
      <c r="P24" s="142"/>
      <c r="Q24" s="68"/>
      <c r="R24" s="68"/>
      <c r="S24" s="68"/>
      <c r="T24" s="68"/>
      <c r="U24" s="68"/>
      <c r="V24" s="68"/>
      <c r="W24" s="68"/>
      <c r="X24" s="68"/>
      <c r="Y24" s="68"/>
      <c r="Z24" s="68"/>
    </row>
    <row r="25" spans="5:26" ht="15" x14ac:dyDescent="0.25">
      <c r="E25" s="145" t="s">
        <v>25</v>
      </c>
      <c r="F25" s="80">
        <v>2014</v>
      </c>
      <c r="G25" s="80">
        <v>2015</v>
      </c>
      <c r="H25" s="80">
        <v>2016</v>
      </c>
      <c r="I25" s="80">
        <v>2017</v>
      </c>
      <c r="J25" s="80">
        <v>2018</v>
      </c>
      <c r="K25" s="80">
        <v>2019</v>
      </c>
      <c r="L25" s="80">
        <v>2020</v>
      </c>
      <c r="M25" s="80">
        <v>2021</v>
      </c>
      <c r="N25" s="80">
        <v>2022</v>
      </c>
      <c r="O25" s="80">
        <v>2023</v>
      </c>
      <c r="P25" s="80">
        <v>2024</v>
      </c>
      <c r="Q25" s="80">
        <v>2025</v>
      </c>
      <c r="R25" s="80">
        <v>2026</v>
      </c>
      <c r="S25" s="80">
        <v>2027</v>
      </c>
      <c r="T25" s="80">
        <v>2028</v>
      </c>
      <c r="U25" s="80">
        <v>2029</v>
      </c>
      <c r="V25" s="80">
        <v>2030</v>
      </c>
      <c r="W25" s="80">
        <v>2031</v>
      </c>
      <c r="X25" s="80">
        <v>2032</v>
      </c>
      <c r="Y25" s="80">
        <v>2033</v>
      </c>
      <c r="Z25" s="81" t="s">
        <v>26</v>
      </c>
    </row>
    <row r="26" spans="5:26" ht="15" x14ac:dyDescent="0.25">
      <c r="E26" s="146" t="s">
        <v>27</v>
      </c>
      <c r="F26" s="82">
        <v>0</v>
      </c>
      <c r="G26" s="83">
        <v>0</v>
      </c>
      <c r="H26" s="84">
        <v>0</v>
      </c>
      <c r="I26" s="84">
        <v>0</v>
      </c>
      <c r="J26" s="84">
        <v>0</v>
      </c>
      <c r="K26" s="84">
        <v>0</v>
      </c>
      <c r="L26" s="84">
        <v>0</v>
      </c>
      <c r="M26" s="84">
        <v>0</v>
      </c>
      <c r="N26" s="84">
        <v>0</v>
      </c>
      <c r="O26" s="84">
        <v>0</v>
      </c>
      <c r="P26" s="84">
        <v>0</v>
      </c>
      <c r="Q26" s="84">
        <v>0</v>
      </c>
      <c r="R26" s="84">
        <v>0</v>
      </c>
      <c r="S26" s="84">
        <v>0</v>
      </c>
      <c r="T26" s="84">
        <v>0</v>
      </c>
      <c r="U26" s="84">
        <v>0</v>
      </c>
      <c r="V26" s="84">
        <v>0</v>
      </c>
      <c r="W26" s="84">
        <v>0</v>
      </c>
      <c r="X26" s="84">
        <v>0</v>
      </c>
      <c r="Y26" s="84">
        <v>0</v>
      </c>
      <c r="Z26" s="85">
        <v>0</v>
      </c>
    </row>
    <row r="27" spans="5:26" ht="15" x14ac:dyDescent="0.25">
      <c r="E27" s="147" t="s">
        <v>28</v>
      </c>
      <c r="F27" s="86">
        <v>0</v>
      </c>
      <c r="G27" s="87">
        <v>0</v>
      </c>
      <c r="H27" s="88">
        <v>0</v>
      </c>
      <c r="I27" s="88">
        <v>0</v>
      </c>
      <c r="J27" s="88">
        <v>0</v>
      </c>
      <c r="K27" s="88">
        <v>0</v>
      </c>
      <c r="L27" s="88">
        <v>0</v>
      </c>
      <c r="M27" s="88">
        <v>0</v>
      </c>
      <c r="N27" s="88">
        <v>0</v>
      </c>
      <c r="O27" s="88">
        <v>0</v>
      </c>
      <c r="P27" s="88">
        <v>0</v>
      </c>
      <c r="Q27" s="88">
        <v>0</v>
      </c>
      <c r="R27" s="88">
        <v>0</v>
      </c>
      <c r="S27" s="88">
        <v>0</v>
      </c>
      <c r="T27" s="88">
        <v>0</v>
      </c>
      <c r="U27" s="88">
        <v>0</v>
      </c>
      <c r="V27" s="88">
        <v>0</v>
      </c>
      <c r="W27" s="88">
        <v>0</v>
      </c>
      <c r="X27" s="88">
        <v>0</v>
      </c>
      <c r="Y27" s="88">
        <v>0</v>
      </c>
      <c r="Z27" s="89">
        <v>0</v>
      </c>
    </row>
    <row r="28" spans="5:26" ht="15" x14ac:dyDescent="0.25">
      <c r="E28" s="147" t="s">
        <v>29</v>
      </c>
      <c r="F28" s="86">
        <v>0</v>
      </c>
      <c r="G28" s="87">
        <v>0</v>
      </c>
      <c r="H28" s="88">
        <v>0</v>
      </c>
      <c r="I28" s="88">
        <v>0</v>
      </c>
      <c r="J28" s="88">
        <v>0</v>
      </c>
      <c r="K28" s="88">
        <v>0</v>
      </c>
      <c r="L28" s="88">
        <v>0</v>
      </c>
      <c r="M28" s="88">
        <v>0</v>
      </c>
      <c r="N28" s="88">
        <v>3</v>
      </c>
      <c r="O28" s="88">
        <v>0</v>
      </c>
      <c r="P28" s="88">
        <v>0</v>
      </c>
      <c r="Q28" s="88">
        <v>0</v>
      </c>
      <c r="R28" s="88">
        <v>0</v>
      </c>
      <c r="S28" s="88">
        <v>1</v>
      </c>
      <c r="T28" s="88">
        <v>0</v>
      </c>
      <c r="U28" s="88">
        <v>0</v>
      </c>
      <c r="V28" s="88">
        <v>1</v>
      </c>
      <c r="W28" s="88">
        <v>0</v>
      </c>
      <c r="X28" s="88">
        <v>0</v>
      </c>
      <c r="Y28" s="88">
        <v>0</v>
      </c>
      <c r="Z28" s="89">
        <v>5</v>
      </c>
    </row>
    <row r="29" spans="5:26" ht="15" x14ac:dyDescent="0.25">
      <c r="E29" s="147" t="s">
        <v>30</v>
      </c>
      <c r="F29" s="90">
        <v>0</v>
      </c>
      <c r="G29" s="91">
        <v>0</v>
      </c>
      <c r="H29" s="87"/>
      <c r="I29" s="87"/>
      <c r="J29" s="87"/>
      <c r="K29" s="87"/>
      <c r="L29" s="87"/>
      <c r="M29" s="87"/>
      <c r="N29" s="87"/>
      <c r="O29" s="87"/>
      <c r="P29" s="87"/>
      <c r="Q29" s="87"/>
      <c r="R29" s="87"/>
      <c r="S29" s="87"/>
      <c r="T29" s="87"/>
      <c r="U29" s="87"/>
      <c r="V29" s="87"/>
      <c r="W29" s="87"/>
      <c r="X29" s="87"/>
      <c r="Y29" s="87"/>
      <c r="Z29" s="89">
        <v>0</v>
      </c>
    </row>
    <row r="30" spans="5:26" ht="15" x14ac:dyDescent="0.25">
      <c r="E30" s="147" t="s">
        <v>31</v>
      </c>
      <c r="F30" s="86">
        <v>0</v>
      </c>
      <c r="G30" s="87">
        <v>0</v>
      </c>
      <c r="H30" s="92"/>
      <c r="I30" s="92"/>
      <c r="J30" s="92"/>
      <c r="K30" s="92"/>
      <c r="L30" s="92"/>
      <c r="M30" s="92"/>
      <c r="N30" s="92"/>
      <c r="O30" s="92"/>
      <c r="P30" s="92"/>
      <c r="Q30" s="92"/>
      <c r="R30" s="92"/>
      <c r="S30" s="92"/>
      <c r="T30" s="92"/>
      <c r="U30" s="92"/>
      <c r="V30" s="92"/>
      <c r="W30" s="92"/>
      <c r="X30" s="92"/>
      <c r="Y30" s="93"/>
      <c r="Z30" s="89">
        <v>0</v>
      </c>
    </row>
    <row r="31" spans="5:26" ht="15" x14ac:dyDescent="0.25">
      <c r="E31" s="147" t="s">
        <v>32</v>
      </c>
      <c r="F31" s="86">
        <v>0</v>
      </c>
      <c r="G31" s="87">
        <v>0</v>
      </c>
      <c r="H31" s="92"/>
      <c r="I31" s="92"/>
      <c r="J31" s="92"/>
      <c r="K31" s="92"/>
      <c r="L31" s="92"/>
      <c r="M31" s="92"/>
      <c r="N31" s="92"/>
      <c r="O31" s="92"/>
      <c r="P31" s="92"/>
      <c r="Q31" s="92"/>
      <c r="R31" s="92"/>
      <c r="S31" s="92"/>
      <c r="T31" s="92"/>
      <c r="U31" s="92"/>
      <c r="V31" s="92"/>
      <c r="W31" s="92"/>
      <c r="X31" s="92"/>
      <c r="Y31" s="93"/>
      <c r="Z31" s="89">
        <v>0</v>
      </c>
    </row>
    <row r="32" spans="5:26" ht="15" x14ac:dyDescent="0.25">
      <c r="E32" s="147" t="s">
        <v>33</v>
      </c>
      <c r="F32" s="86">
        <v>0</v>
      </c>
      <c r="G32" s="87">
        <v>0</v>
      </c>
      <c r="H32" s="87"/>
      <c r="I32" s="87"/>
      <c r="J32" s="87"/>
      <c r="K32" s="87"/>
      <c r="L32" s="87"/>
      <c r="M32" s="87"/>
      <c r="N32" s="87"/>
      <c r="O32" s="87"/>
      <c r="P32" s="87"/>
      <c r="Q32" s="87"/>
      <c r="R32" s="87"/>
      <c r="S32" s="87"/>
      <c r="T32" s="87"/>
      <c r="U32" s="87"/>
      <c r="V32" s="87"/>
      <c r="W32" s="87"/>
      <c r="X32" s="87"/>
      <c r="Y32" s="87"/>
      <c r="Z32" s="89">
        <v>0</v>
      </c>
    </row>
    <row r="33" spans="5:26" ht="15" x14ac:dyDescent="0.25">
      <c r="E33" s="147" t="s">
        <v>34</v>
      </c>
      <c r="F33" s="86">
        <v>0</v>
      </c>
      <c r="G33" s="87">
        <v>0</v>
      </c>
      <c r="H33" s="88">
        <v>0</v>
      </c>
      <c r="I33" s="88">
        <v>0</v>
      </c>
      <c r="J33" s="88">
        <v>0</v>
      </c>
      <c r="K33" s="88">
        <v>0</v>
      </c>
      <c r="L33" s="88">
        <v>0</v>
      </c>
      <c r="M33" s="88">
        <v>0</v>
      </c>
      <c r="N33" s="88">
        <v>0</v>
      </c>
      <c r="O33" s="88">
        <v>0</v>
      </c>
      <c r="P33" s="88">
        <v>0</v>
      </c>
      <c r="Q33" s="88">
        <v>0</v>
      </c>
      <c r="R33" s="88">
        <v>0</v>
      </c>
      <c r="S33" s="88">
        <v>0</v>
      </c>
      <c r="T33" s="88">
        <v>0</v>
      </c>
      <c r="U33" s="88">
        <v>0</v>
      </c>
      <c r="V33" s="88">
        <v>0</v>
      </c>
      <c r="W33" s="88">
        <v>0</v>
      </c>
      <c r="X33" s="88">
        <v>0</v>
      </c>
      <c r="Y33" s="88">
        <v>0</v>
      </c>
      <c r="Z33" s="89">
        <v>0</v>
      </c>
    </row>
    <row r="34" spans="5:26" x14ac:dyDescent="0.3">
      <c r="E34" s="147" t="s">
        <v>35</v>
      </c>
      <c r="F34" s="86">
        <v>0</v>
      </c>
      <c r="G34" s="87">
        <v>0</v>
      </c>
      <c r="H34" s="88">
        <v>0</v>
      </c>
      <c r="I34" s="88">
        <v>0</v>
      </c>
      <c r="J34" s="88">
        <v>0</v>
      </c>
      <c r="K34" s="88">
        <v>0</v>
      </c>
      <c r="L34" s="88">
        <v>0</v>
      </c>
      <c r="M34" s="88">
        <v>1</v>
      </c>
      <c r="N34" s="88">
        <v>0</v>
      </c>
      <c r="O34" s="88">
        <v>1</v>
      </c>
      <c r="P34" s="88">
        <v>1</v>
      </c>
      <c r="Q34" s="88">
        <v>0</v>
      </c>
      <c r="R34" s="88">
        <v>3</v>
      </c>
      <c r="S34" s="88">
        <v>0</v>
      </c>
      <c r="T34" s="88">
        <v>1</v>
      </c>
      <c r="U34" s="88">
        <v>0</v>
      </c>
      <c r="V34" s="88">
        <v>1</v>
      </c>
      <c r="W34" s="88">
        <v>1</v>
      </c>
      <c r="X34" s="88">
        <v>0</v>
      </c>
      <c r="Y34" s="88">
        <v>1</v>
      </c>
      <c r="Z34" s="89">
        <v>10</v>
      </c>
    </row>
    <row r="35" spans="5:26" x14ac:dyDescent="0.3">
      <c r="E35" s="147" t="s">
        <v>36</v>
      </c>
      <c r="F35" s="94">
        <v>0</v>
      </c>
      <c r="G35" s="95">
        <v>0</v>
      </c>
      <c r="H35" s="96"/>
      <c r="I35" s="96"/>
      <c r="J35" s="96"/>
      <c r="K35" s="96"/>
      <c r="L35" s="96"/>
      <c r="M35" s="96"/>
      <c r="N35" s="96"/>
      <c r="O35" s="96"/>
      <c r="P35" s="96"/>
      <c r="Q35" s="96"/>
      <c r="R35" s="96"/>
      <c r="S35" s="96"/>
      <c r="T35" s="96"/>
      <c r="U35" s="96"/>
      <c r="V35" s="96"/>
      <c r="W35" s="96"/>
      <c r="X35" s="96"/>
      <c r="Y35" s="96"/>
      <c r="Z35" s="97">
        <v>0</v>
      </c>
    </row>
    <row r="37" spans="5:26" x14ac:dyDescent="0.3">
      <c r="E37" s="197" t="s">
        <v>146</v>
      </c>
    </row>
    <row r="38" spans="5:26" ht="15.6" x14ac:dyDescent="0.3">
      <c r="E38" s="143" t="s">
        <v>24</v>
      </c>
      <c r="F38" s="144"/>
      <c r="G38" s="73"/>
      <c r="H38" s="74"/>
      <c r="I38" s="75"/>
      <c r="J38" s="73"/>
      <c r="K38" s="70"/>
      <c r="L38" s="71"/>
      <c r="M38" s="71"/>
      <c r="N38" s="76"/>
      <c r="O38" s="142"/>
      <c r="P38" s="142"/>
      <c r="Q38" s="68"/>
      <c r="R38" s="68"/>
      <c r="S38" s="68"/>
      <c r="T38" s="68"/>
      <c r="U38" s="68"/>
      <c r="V38" s="68"/>
      <c r="W38" s="68"/>
      <c r="X38" s="68"/>
      <c r="Y38" s="68"/>
      <c r="Z38" s="68"/>
    </row>
    <row r="39" spans="5:26" ht="15.6" x14ac:dyDescent="0.3">
      <c r="E39" s="77">
        <v>12097030.075455025</v>
      </c>
      <c r="F39" s="75"/>
      <c r="G39" s="194"/>
      <c r="H39" s="79"/>
      <c r="I39" s="75"/>
      <c r="J39" s="194"/>
      <c r="K39" s="70"/>
      <c r="L39" s="71"/>
      <c r="M39" s="71"/>
      <c r="N39" s="142"/>
      <c r="O39" s="142"/>
      <c r="P39" s="142"/>
      <c r="Q39" s="68"/>
      <c r="R39" s="68"/>
      <c r="S39" s="68"/>
      <c r="T39" s="68"/>
      <c r="U39" s="68"/>
      <c r="V39" s="68"/>
      <c r="W39" s="68"/>
      <c r="X39" s="68"/>
      <c r="Y39" s="68"/>
      <c r="Z39" s="68"/>
    </row>
    <row r="40" spans="5:26" ht="15.6" x14ac:dyDescent="0.3">
      <c r="E40" s="69"/>
      <c r="F40" s="68"/>
      <c r="G40" s="68"/>
      <c r="H40" s="68"/>
      <c r="I40" s="68"/>
      <c r="J40" s="68"/>
      <c r="K40" s="70"/>
      <c r="L40" s="71"/>
      <c r="M40" s="71"/>
      <c r="N40" s="142"/>
      <c r="O40" s="142"/>
      <c r="P40" s="142"/>
      <c r="Q40" s="68"/>
      <c r="R40" s="68"/>
      <c r="S40" s="68"/>
      <c r="T40" s="68"/>
      <c r="U40" s="68"/>
      <c r="V40" s="68"/>
      <c r="W40" s="68"/>
      <c r="X40" s="68"/>
      <c r="Y40" s="68"/>
      <c r="Z40" s="68"/>
    </row>
    <row r="41" spans="5:26" x14ac:dyDescent="0.3">
      <c r="E41" s="145" t="s">
        <v>25</v>
      </c>
      <c r="F41" s="80">
        <v>2014</v>
      </c>
      <c r="G41" s="80">
        <v>2015</v>
      </c>
      <c r="H41" s="80">
        <v>2016</v>
      </c>
      <c r="I41" s="80">
        <v>2017</v>
      </c>
      <c r="J41" s="80">
        <v>2018</v>
      </c>
      <c r="K41" s="80">
        <v>2019</v>
      </c>
      <c r="L41" s="80">
        <v>2020</v>
      </c>
      <c r="M41" s="80">
        <v>2021</v>
      </c>
      <c r="N41" s="80">
        <v>2022</v>
      </c>
      <c r="O41" s="80">
        <v>2023</v>
      </c>
      <c r="P41" s="80">
        <v>2024</v>
      </c>
      <c r="Q41" s="80">
        <v>2025</v>
      </c>
      <c r="R41" s="80">
        <v>2026</v>
      </c>
      <c r="S41" s="80">
        <v>2027</v>
      </c>
      <c r="T41" s="80">
        <v>2028</v>
      </c>
      <c r="U41" s="80">
        <v>2029</v>
      </c>
      <c r="V41" s="80">
        <v>2030</v>
      </c>
      <c r="W41" s="80">
        <v>2031</v>
      </c>
      <c r="X41" s="80">
        <v>2032</v>
      </c>
      <c r="Y41" s="80">
        <v>2033</v>
      </c>
      <c r="Z41" s="81" t="s">
        <v>26</v>
      </c>
    </row>
    <row r="42" spans="5:26" x14ac:dyDescent="0.3">
      <c r="E42" s="146" t="s">
        <v>27</v>
      </c>
      <c r="F42" s="82">
        <v>0</v>
      </c>
      <c r="G42" s="83">
        <v>0</v>
      </c>
      <c r="H42" s="84">
        <v>0</v>
      </c>
      <c r="I42" s="84">
        <v>0</v>
      </c>
      <c r="J42" s="84">
        <v>0</v>
      </c>
      <c r="K42" s="84">
        <v>0</v>
      </c>
      <c r="L42" s="84">
        <v>0</v>
      </c>
      <c r="M42" s="84">
        <v>0</v>
      </c>
      <c r="N42" s="84">
        <v>0</v>
      </c>
      <c r="O42" s="84">
        <v>0</v>
      </c>
      <c r="P42" s="84">
        <v>0</v>
      </c>
      <c r="Q42" s="84">
        <v>0</v>
      </c>
      <c r="R42" s="84">
        <v>0</v>
      </c>
      <c r="S42" s="84">
        <v>0</v>
      </c>
      <c r="T42" s="84">
        <v>0</v>
      </c>
      <c r="U42" s="84">
        <v>0</v>
      </c>
      <c r="V42" s="84">
        <v>0</v>
      </c>
      <c r="W42" s="84">
        <v>0</v>
      </c>
      <c r="X42" s="84">
        <v>0</v>
      </c>
      <c r="Y42" s="84">
        <v>0</v>
      </c>
      <c r="Z42" s="85">
        <v>0</v>
      </c>
    </row>
    <row r="43" spans="5:26" x14ac:dyDescent="0.3">
      <c r="E43" s="147" t="s">
        <v>28</v>
      </c>
      <c r="F43" s="86">
        <v>0</v>
      </c>
      <c r="G43" s="87">
        <v>0</v>
      </c>
      <c r="H43" s="88">
        <v>0</v>
      </c>
      <c r="I43" s="88">
        <v>0</v>
      </c>
      <c r="J43" s="88">
        <v>0</v>
      </c>
      <c r="K43" s="88">
        <v>0</v>
      </c>
      <c r="L43" s="88">
        <v>0</v>
      </c>
      <c r="M43" s="88">
        <v>0</v>
      </c>
      <c r="N43" s="88">
        <v>0</v>
      </c>
      <c r="O43" s="88">
        <v>0</v>
      </c>
      <c r="P43" s="88">
        <v>0</v>
      </c>
      <c r="Q43" s="88">
        <v>0</v>
      </c>
      <c r="R43" s="88">
        <v>0</v>
      </c>
      <c r="S43" s="88">
        <v>0</v>
      </c>
      <c r="T43" s="88">
        <v>0</v>
      </c>
      <c r="U43" s="88">
        <v>0</v>
      </c>
      <c r="V43" s="88">
        <v>0</v>
      </c>
      <c r="W43" s="88">
        <v>0</v>
      </c>
      <c r="X43" s="88">
        <v>0</v>
      </c>
      <c r="Y43" s="88">
        <v>0</v>
      </c>
      <c r="Z43" s="89">
        <v>0</v>
      </c>
    </row>
    <row r="44" spans="5:26" x14ac:dyDescent="0.3">
      <c r="E44" s="147" t="s">
        <v>29</v>
      </c>
      <c r="F44" s="86">
        <v>0</v>
      </c>
      <c r="G44" s="87">
        <v>0</v>
      </c>
      <c r="H44" s="88">
        <v>0</v>
      </c>
      <c r="I44" s="88">
        <v>0</v>
      </c>
      <c r="J44" s="88">
        <v>0</v>
      </c>
      <c r="K44" s="88">
        <v>0</v>
      </c>
      <c r="L44" s="88">
        <v>0</v>
      </c>
      <c r="M44" s="88">
        <v>0</v>
      </c>
      <c r="N44" s="88">
        <v>3</v>
      </c>
      <c r="O44" s="88">
        <v>0</v>
      </c>
      <c r="P44" s="88">
        <v>0</v>
      </c>
      <c r="Q44" s="88">
        <v>0</v>
      </c>
      <c r="R44" s="88">
        <v>0</v>
      </c>
      <c r="S44" s="88">
        <v>1</v>
      </c>
      <c r="T44" s="88">
        <v>0</v>
      </c>
      <c r="U44" s="88">
        <v>0</v>
      </c>
      <c r="V44" s="88">
        <v>1</v>
      </c>
      <c r="W44" s="88">
        <v>0</v>
      </c>
      <c r="X44" s="88">
        <v>0</v>
      </c>
      <c r="Y44" s="88">
        <v>0</v>
      </c>
      <c r="Z44" s="89">
        <v>5</v>
      </c>
    </row>
    <row r="45" spans="5:26" x14ac:dyDescent="0.3">
      <c r="E45" s="147" t="s">
        <v>30</v>
      </c>
      <c r="F45" s="90">
        <v>0</v>
      </c>
      <c r="G45" s="91">
        <v>0</v>
      </c>
      <c r="H45" s="87"/>
      <c r="I45" s="87"/>
      <c r="J45" s="87"/>
      <c r="K45" s="87"/>
      <c r="L45" s="87"/>
      <c r="M45" s="87"/>
      <c r="N45" s="87"/>
      <c r="O45" s="87"/>
      <c r="P45" s="87"/>
      <c r="Q45" s="87"/>
      <c r="R45" s="87"/>
      <c r="S45" s="87"/>
      <c r="T45" s="87"/>
      <c r="U45" s="87"/>
      <c r="V45" s="87"/>
      <c r="W45" s="87"/>
      <c r="X45" s="87"/>
      <c r="Y45" s="87"/>
      <c r="Z45" s="89">
        <v>0</v>
      </c>
    </row>
    <row r="46" spans="5:26" x14ac:dyDescent="0.3">
      <c r="E46" s="147" t="s">
        <v>31</v>
      </c>
      <c r="F46" s="86">
        <v>0</v>
      </c>
      <c r="G46" s="87">
        <v>0</v>
      </c>
      <c r="H46" s="92"/>
      <c r="I46" s="92"/>
      <c r="J46" s="92"/>
      <c r="K46" s="92"/>
      <c r="L46" s="92"/>
      <c r="M46" s="92"/>
      <c r="N46" s="92"/>
      <c r="O46" s="92"/>
      <c r="P46" s="92"/>
      <c r="Q46" s="92"/>
      <c r="R46" s="92"/>
      <c r="S46" s="92"/>
      <c r="T46" s="92"/>
      <c r="U46" s="92"/>
      <c r="V46" s="92"/>
      <c r="W46" s="92"/>
      <c r="X46" s="92"/>
      <c r="Y46" s="93"/>
      <c r="Z46" s="89">
        <v>0</v>
      </c>
    </row>
    <row r="47" spans="5:26" x14ac:dyDescent="0.3">
      <c r="E47" s="147" t="s">
        <v>32</v>
      </c>
      <c r="F47" s="86">
        <v>0</v>
      </c>
      <c r="G47" s="87">
        <v>0</v>
      </c>
      <c r="H47" s="92"/>
      <c r="I47" s="92"/>
      <c r="J47" s="92"/>
      <c r="K47" s="92"/>
      <c r="L47" s="92"/>
      <c r="M47" s="92"/>
      <c r="N47" s="92"/>
      <c r="O47" s="92"/>
      <c r="P47" s="92"/>
      <c r="Q47" s="92"/>
      <c r="R47" s="92"/>
      <c r="S47" s="92"/>
      <c r="T47" s="92"/>
      <c r="U47" s="92"/>
      <c r="V47" s="92"/>
      <c r="W47" s="92"/>
      <c r="X47" s="92"/>
      <c r="Y47" s="93"/>
      <c r="Z47" s="89">
        <v>0</v>
      </c>
    </row>
    <row r="48" spans="5:26" x14ac:dyDescent="0.3">
      <c r="E48" s="147" t="s">
        <v>33</v>
      </c>
      <c r="F48" s="86">
        <v>0</v>
      </c>
      <c r="G48" s="87">
        <v>0</v>
      </c>
      <c r="H48" s="87"/>
      <c r="I48" s="87"/>
      <c r="J48" s="87"/>
      <c r="K48" s="87"/>
      <c r="L48" s="87"/>
      <c r="M48" s="87"/>
      <c r="N48" s="87"/>
      <c r="O48" s="87"/>
      <c r="P48" s="87"/>
      <c r="Q48" s="87"/>
      <c r="R48" s="87"/>
      <c r="S48" s="87"/>
      <c r="T48" s="87"/>
      <c r="U48" s="87"/>
      <c r="V48" s="87"/>
      <c r="W48" s="87"/>
      <c r="X48" s="87"/>
      <c r="Y48" s="87"/>
      <c r="Z48" s="89">
        <v>0</v>
      </c>
    </row>
    <row r="49" spans="5:26" x14ac:dyDescent="0.3">
      <c r="E49" s="147" t="s">
        <v>34</v>
      </c>
      <c r="F49" s="86">
        <v>0</v>
      </c>
      <c r="G49" s="87">
        <v>0</v>
      </c>
      <c r="H49" s="88">
        <v>0</v>
      </c>
      <c r="I49" s="88">
        <v>0</v>
      </c>
      <c r="J49" s="88">
        <v>0</v>
      </c>
      <c r="K49" s="88">
        <v>0</v>
      </c>
      <c r="L49" s="88">
        <v>0</v>
      </c>
      <c r="M49" s="88">
        <v>0</v>
      </c>
      <c r="N49" s="88">
        <v>0</v>
      </c>
      <c r="O49" s="88">
        <v>0</v>
      </c>
      <c r="P49" s="88">
        <v>0</v>
      </c>
      <c r="Q49" s="88">
        <v>0</v>
      </c>
      <c r="R49" s="88">
        <v>0</v>
      </c>
      <c r="S49" s="88">
        <v>0</v>
      </c>
      <c r="T49" s="88">
        <v>0</v>
      </c>
      <c r="U49" s="88">
        <v>0</v>
      </c>
      <c r="V49" s="88">
        <v>0</v>
      </c>
      <c r="W49" s="88">
        <v>0</v>
      </c>
      <c r="X49" s="88">
        <v>0</v>
      </c>
      <c r="Y49" s="88">
        <v>0</v>
      </c>
      <c r="Z49" s="89">
        <v>0</v>
      </c>
    </row>
    <row r="50" spans="5:26" x14ac:dyDescent="0.3">
      <c r="E50" s="147" t="s">
        <v>35</v>
      </c>
      <c r="F50" s="86">
        <v>0</v>
      </c>
      <c r="G50" s="87">
        <v>0</v>
      </c>
      <c r="H50" s="88">
        <v>0</v>
      </c>
      <c r="I50" s="88">
        <v>0</v>
      </c>
      <c r="J50" s="88">
        <v>1</v>
      </c>
      <c r="K50" s="88">
        <v>0</v>
      </c>
      <c r="L50" s="88">
        <v>0</v>
      </c>
      <c r="M50" s="88">
        <v>0</v>
      </c>
      <c r="N50" s="88">
        <v>1</v>
      </c>
      <c r="O50" s="88">
        <v>1</v>
      </c>
      <c r="P50" s="88">
        <v>0</v>
      </c>
      <c r="Q50" s="88">
        <v>1</v>
      </c>
      <c r="R50" s="88">
        <v>2</v>
      </c>
      <c r="S50" s="88">
        <v>1</v>
      </c>
      <c r="T50" s="88">
        <v>0</v>
      </c>
      <c r="U50" s="88">
        <v>1</v>
      </c>
      <c r="V50" s="88">
        <v>1</v>
      </c>
      <c r="W50" s="88">
        <v>0</v>
      </c>
      <c r="X50" s="88">
        <v>1</v>
      </c>
      <c r="Y50" s="88">
        <v>1</v>
      </c>
      <c r="Z50" s="89">
        <v>11</v>
      </c>
    </row>
    <row r="51" spans="5:26" x14ac:dyDescent="0.3">
      <c r="E51" s="147" t="s">
        <v>36</v>
      </c>
      <c r="F51" s="94">
        <v>0</v>
      </c>
      <c r="G51" s="95">
        <v>0</v>
      </c>
      <c r="H51" s="96"/>
      <c r="I51" s="96"/>
      <c r="J51" s="96"/>
      <c r="K51" s="96"/>
      <c r="L51" s="96"/>
      <c r="M51" s="96"/>
      <c r="N51" s="96"/>
      <c r="O51" s="96"/>
      <c r="P51" s="96"/>
      <c r="Q51" s="96"/>
      <c r="R51" s="96"/>
      <c r="S51" s="96"/>
      <c r="T51" s="96"/>
      <c r="U51" s="96"/>
      <c r="V51" s="96"/>
      <c r="W51" s="96"/>
      <c r="X51" s="96"/>
      <c r="Y51" s="96"/>
      <c r="Z51" s="97">
        <v>0</v>
      </c>
    </row>
    <row r="52" spans="5:26" x14ac:dyDescent="0.3">
      <c r="E52" s="148"/>
      <c r="F52" s="98"/>
      <c r="G52" s="98"/>
      <c r="H52" s="99"/>
      <c r="I52" s="99"/>
      <c r="J52" s="99"/>
      <c r="K52" s="99"/>
      <c r="L52" s="99"/>
      <c r="M52" s="99"/>
      <c r="N52" s="99"/>
      <c r="O52" s="99"/>
      <c r="P52" s="99"/>
      <c r="Q52" s="99"/>
      <c r="R52" s="99"/>
      <c r="S52" s="99"/>
      <c r="T52" s="99"/>
      <c r="U52" s="99"/>
      <c r="V52" s="99"/>
      <c r="W52" s="99"/>
      <c r="X52" s="99"/>
      <c r="Y52" s="99"/>
      <c r="Z52" s="100"/>
    </row>
    <row r="53" spans="5:26" x14ac:dyDescent="0.3">
      <c r="E53" s="145" t="s">
        <v>37</v>
      </c>
      <c r="F53" s="98"/>
      <c r="G53" s="98"/>
      <c r="H53" s="99"/>
      <c r="I53" s="101"/>
      <c r="J53" s="145" t="s">
        <v>37</v>
      </c>
      <c r="K53" s="99"/>
      <c r="L53" s="99"/>
      <c r="M53" s="99"/>
      <c r="N53" s="99"/>
      <c r="O53" s="99"/>
      <c r="P53" s="101"/>
      <c r="Q53" s="101"/>
      <c r="R53" s="149" t="s">
        <v>38</v>
      </c>
      <c r="S53" s="99"/>
      <c r="T53" s="99"/>
      <c r="U53" s="99"/>
      <c r="V53" s="99"/>
      <c r="W53" s="99"/>
      <c r="X53" s="149" t="s">
        <v>39</v>
      </c>
      <c r="Y53" s="99"/>
      <c r="Z53" s="100"/>
    </row>
    <row r="54" spans="5:26" x14ac:dyDescent="0.3">
      <c r="E54" s="150" t="s">
        <v>62</v>
      </c>
      <c r="F54" s="102"/>
      <c r="G54" s="103">
        <v>0</v>
      </c>
      <c r="H54" s="104"/>
      <c r="I54" s="101"/>
      <c r="J54" s="150" t="s">
        <v>119</v>
      </c>
      <c r="K54" s="105"/>
      <c r="L54" s="106"/>
      <c r="M54" s="106"/>
      <c r="N54" s="107"/>
      <c r="O54" s="108">
        <v>1</v>
      </c>
      <c r="P54" s="101"/>
      <c r="Q54" s="101"/>
      <c r="R54" s="151" t="s">
        <v>63</v>
      </c>
      <c r="S54" s="109"/>
      <c r="T54" s="110"/>
      <c r="U54" s="111"/>
      <c r="V54" s="112">
        <v>1</v>
      </c>
      <c r="W54" s="113" t="s">
        <v>40</v>
      </c>
      <c r="X54" s="151" t="s">
        <v>41</v>
      </c>
      <c r="Y54" s="112"/>
      <c r="Z54" s="101"/>
    </row>
    <row r="55" spans="5:26" x14ac:dyDescent="0.3">
      <c r="E55" s="152" t="s">
        <v>64</v>
      </c>
      <c r="F55" s="114"/>
      <c r="G55" s="115">
        <v>0</v>
      </c>
      <c r="H55" s="104"/>
      <c r="I55" s="101"/>
      <c r="J55" s="152" t="s">
        <v>65</v>
      </c>
      <c r="K55" s="116"/>
      <c r="L55" s="153"/>
      <c r="M55" s="153"/>
      <c r="N55" s="117"/>
      <c r="O55" s="115">
        <v>0</v>
      </c>
      <c r="P55" s="101"/>
      <c r="Q55" s="101"/>
      <c r="R55" s="154" t="s">
        <v>66</v>
      </c>
      <c r="S55" s="118"/>
      <c r="T55" s="119"/>
      <c r="U55" s="120"/>
      <c r="V55" s="121"/>
      <c r="W55" s="113" t="s">
        <v>42</v>
      </c>
      <c r="X55" s="154" t="s">
        <v>43</v>
      </c>
      <c r="Y55" s="121"/>
      <c r="Z55" s="101"/>
    </row>
    <row r="56" spans="5:26" x14ac:dyDescent="0.3">
      <c r="E56" s="152" t="s">
        <v>67</v>
      </c>
      <c r="F56" s="114"/>
      <c r="G56" s="115">
        <v>0</v>
      </c>
      <c r="H56" s="104"/>
      <c r="I56" s="101"/>
      <c r="J56" s="152" t="s">
        <v>68</v>
      </c>
      <c r="K56" s="116"/>
      <c r="L56" s="122"/>
      <c r="M56" s="122"/>
      <c r="N56" s="117"/>
      <c r="O56" s="115">
        <v>0</v>
      </c>
      <c r="P56" s="101"/>
      <c r="Q56" s="101"/>
      <c r="R56" s="154" t="s">
        <v>69</v>
      </c>
      <c r="S56" s="118"/>
      <c r="T56" s="119"/>
      <c r="U56" s="120"/>
      <c r="V56" s="121"/>
      <c r="W56" s="113" t="s">
        <v>44</v>
      </c>
      <c r="X56" s="154" t="s">
        <v>45</v>
      </c>
      <c r="Y56" s="121"/>
      <c r="Z56" s="101"/>
    </row>
    <row r="57" spans="5:26" x14ac:dyDescent="0.3">
      <c r="E57" s="152" t="s">
        <v>70</v>
      </c>
      <c r="F57" s="114"/>
      <c r="G57" s="115">
        <v>0</v>
      </c>
      <c r="H57" s="104"/>
      <c r="I57" s="101"/>
      <c r="J57" s="152" t="s">
        <v>71</v>
      </c>
      <c r="K57" s="116"/>
      <c r="L57" s="122"/>
      <c r="M57" s="122"/>
      <c r="N57" s="117"/>
      <c r="O57" s="115">
        <v>0</v>
      </c>
      <c r="P57" s="101"/>
      <c r="Q57" s="101"/>
      <c r="R57" s="154" t="s">
        <v>72</v>
      </c>
      <c r="S57" s="118"/>
      <c r="T57" s="119"/>
      <c r="U57" s="120"/>
      <c r="V57" s="121"/>
      <c r="W57" s="113" t="s">
        <v>46</v>
      </c>
      <c r="X57" s="154" t="s">
        <v>47</v>
      </c>
      <c r="Y57" s="121"/>
      <c r="Z57" s="101"/>
    </row>
    <row r="58" spans="5:26" x14ac:dyDescent="0.3">
      <c r="E58" s="155" t="s">
        <v>73</v>
      </c>
      <c r="F58" s="123"/>
      <c r="G58" s="124">
        <v>0</v>
      </c>
      <c r="H58" s="104"/>
      <c r="I58" s="101"/>
      <c r="J58" s="152" t="s">
        <v>74</v>
      </c>
      <c r="K58" s="116"/>
      <c r="L58" s="122"/>
      <c r="M58" s="122"/>
      <c r="N58" s="117"/>
      <c r="O58" s="115">
        <v>0</v>
      </c>
      <c r="P58" s="101"/>
      <c r="Q58" s="101"/>
      <c r="R58" s="154" t="s">
        <v>75</v>
      </c>
      <c r="S58" s="118"/>
      <c r="T58" s="119"/>
      <c r="U58" s="120"/>
      <c r="V58" s="121"/>
      <c r="W58" s="113" t="s">
        <v>48</v>
      </c>
      <c r="X58" s="156" t="s">
        <v>49</v>
      </c>
      <c r="Y58" s="125"/>
      <c r="Z58" s="126"/>
    </row>
    <row r="59" spans="5:26" x14ac:dyDescent="0.3">
      <c r="E59" s="150" t="s">
        <v>76</v>
      </c>
      <c r="F59" s="102"/>
      <c r="G59" s="127">
        <v>0</v>
      </c>
      <c r="H59" s="104"/>
      <c r="I59" s="101"/>
      <c r="J59" s="152" t="s">
        <v>77</v>
      </c>
      <c r="K59" s="116"/>
      <c r="L59" s="122"/>
      <c r="M59" s="122"/>
      <c r="N59" s="117"/>
      <c r="O59" s="115">
        <v>0</v>
      </c>
      <c r="P59" s="101"/>
      <c r="Q59" s="101"/>
      <c r="R59" s="154" t="s">
        <v>78</v>
      </c>
      <c r="S59" s="118"/>
      <c r="T59" s="119"/>
      <c r="U59" s="120"/>
      <c r="V59" s="121">
        <v>0</v>
      </c>
      <c r="W59" s="113" t="s">
        <v>50</v>
      </c>
      <c r="X59" s="126"/>
      <c r="Y59" s="126"/>
      <c r="Z59" s="126"/>
    </row>
    <row r="60" spans="5:26" ht="15.6" x14ac:dyDescent="0.3">
      <c r="E60" s="152" t="s">
        <v>79</v>
      </c>
      <c r="F60" s="114"/>
      <c r="G60" s="115">
        <v>0</v>
      </c>
      <c r="H60" s="104"/>
      <c r="I60" s="101"/>
      <c r="J60" s="152" t="s">
        <v>80</v>
      </c>
      <c r="K60" s="116"/>
      <c r="L60" s="122"/>
      <c r="M60" s="122"/>
      <c r="N60" s="117"/>
      <c r="O60" s="115">
        <v>0</v>
      </c>
      <c r="P60" s="101"/>
      <c r="Q60" s="101"/>
      <c r="R60" s="154" t="s">
        <v>81</v>
      </c>
      <c r="S60" s="118"/>
      <c r="T60" s="119"/>
      <c r="U60" s="120"/>
      <c r="V60" s="121">
        <v>0</v>
      </c>
      <c r="W60" s="113" t="s">
        <v>51</v>
      </c>
      <c r="X60" s="126"/>
      <c r="Y60" s="329"/>
      <c r="Z60" s="329"/>
    </row>
    <row r="61" spans="5:26" x14ac:dyDescent="0.3">
      <c r="E61" s="152" t="s">
        <v>82</v>
      </c>
      <c r="F61" s="114"/>
      <c r="G61" s="115">
        <v>0</v>
      </c>
      <c r="H61" s="104"/>
      <c r="I61" s="101"/>
      <c r="J61" s="152" t="s">
        <v>83</v>
      </c>
      <c r="K61" s="116"/>
      <c r="L61" s="122"/>
      <c r="M61" s="122"/>
      <c r="N61" s="117"/>
      <c r="O61" s="115">
        <v>0</v>
      </c>
      <c r="P61" s="101"/>
      <c r="Q61" s="101"/>
      <c r="R61" s="154" t="s">
        <v>84</v>
      </c>
      <c r="S61" s="118"/>
      <c r="T61" s="119"/>
      <c r="U61" s="120"/>
      <c r="V61" s="121">
        <v>0</v>
      </c>
      <c r="W61" s="113" t="s">
        <v>52</v>
      </c>
      <c r="X61" s="99"/>
      <c r="Y61" s="99"/>
      <c r="Z61" s="101"/>
    </row>
    <row r="62" spans="5:26" x14ac:dyDescent="0.3">
      <c r="E62" s="152" t="s">
        <v>85</v>
      </c>
      <c r="F62" s="114"/>
      <c r="G62" s="115">
        <v>0</v>
      </c>
      <c r="H62" s="104"/>
      <c r="I62" s="101"/>
      <c r="J62" s="152" t="s">
        <v>86</v>
      </c>
      <c r="K62" s="116"/>
      <c r="L62" s="122"/>
      <c r="M62" s="122"/>
      <c r="N62" s="117"/>
      <c r="O62" s="115">
        <v>0</v>
      </c>
      <c r="P62" s="101"/>
      <c r="Q62" s="101"/>
      <c r="R62" s="154" t="s">
        <v>87</v>
      </c>
      <c r="S62" s="118"/>
      <c r="T62" s="119"/>
      <c r="U62" s="120"/>
      <c r="V62" s="121">
        <v>0</v>
      </c>
      <c r="W62" s="113" t="s">
        <v>53</v>
      </c>
      <c r="X62" s="99"/>
      <c r="Y62" s="99"/>
      <c r="Z62" s="101"/>
    </row>
    <row r="63" spans="5:26" x14ac:dyDescent="0.3">
      <c r="E63" s="155" t="s">
        <v>88</v>
      </c>
      <c r="F63" s="123"/>
      <c r="G63" s="124">
        <v>0</v>
      </c>
      <c r="H63" s="104"/>
      <c r="I63" s="101"/>
      <c r="J63" s="155" t="s">
        <v>89</v>
      </c>
      <c r="K63" s="128"/>
      <c r="L63" s="129"/>
      <c r="M63" s="129"/>
      <c r="N63" s="130"/>
      <c r="O63" s="131">
        <v>0</v>
      </c>
      <c r="P63" s="101"/>
      <c r="Q63" s="101"/>
      <c r="R63" s="156" t="s">
        <v>90</v>
      </c>
      <c r="S63" s="132"/>
      <c r="T63" s="133"/>
      <c r="U63" s="134"/>
      <c r="V63" s="125">
        <v>0</v>
      </c>
      <c r="W63" s="113" t="s">
        <v>54</v>
      </c>
      <c r="X63" s="99"/>
      <c r="Y63" s="99"/>
      <c r="Z63" s="101"/>
    </row>
    <row r="64" spans="5:26" x14ac:dyDescent="0.3">
      <c r="E64" s="150" t="s">
        <v>109</v>
      </c>
      <c r="F64" s="135"/>
      <c r="G64" s="108">
        <v>1</v>
      </c>
      <c r="H64" s="104"/>
      <c r="I64" s="101"/>
      <c r="J64" s="150" t="s">
        <v>91</v>
      </c>
      <c r="K64" s="102"/>
      <c r="L64" s="106"/>
      <c r="M64" s="106"/>
      <c r="N64" s="135"/>
      <c r="O64" s="103">
        <v>0</v>
      </c>
      <c r="P64" s="101"/>
      <c r="Q64" s="101"/>
      <c r="R64" s="157" t="s">
        <v>55</v>
      </c>
      <c r="S64" s="132"/>
      <c r="T64" s="133"/>
      <c r="U64" s="134"/>
      <c r="V64" s="125">
        <v>1</v>
      </c>
      <c r="W64" s="99"/>
      <c r="X64" s="99"/>
      <c r="Y64" s="99"/>
      <c r="Z64" s="158"/>
    </row>
    <row r="65" spans="5:26" x14ac:dyDescent="0.3">
      <c r="E65" s="152" t="s">
        <v>110</v>
      </c>
      <c r="F65" s="159"/>
      <c r="G65" s="115">
        <v>1</v>
      </c>
      <c r="H65" s="104"/>
      <c r="I65" s="158"/>
      <c r="J65" s="152" t="s">
        <v>92</v>
      </c>
      <c r="K65" s="114"/>
      <c r="L65" s="153"/>
      <c r="M65" s="153"/>
      <c r="N65" s="159"/>
      <c r="O65" s="115">
        <v>0</v>
      </c>
      <c r="P65" s="158"/>
      <c r="Q65" s="158"/>
      <c r="R65" s="99"/>
      <c r="S65" s="99"/>
      <c r="T65" s="99"/>
      <c r="U65" s="101"/>
      <c r="V65" s="158"/>
      <c r="W65" s="99"/>
      <c r="X65" s="99"/>
      <c r="Y65" s="99"/>
      <c r="Z65" s="101"/>
    </row>
    <row r="66" spans="5:26" x14ac:dyDescent="0.3">
      <c r="E66" s="152" t="s">
        <v>111</v>
      </c>
      <c r="F66" s="136"/>
      <c r="G66" s="115">
        <v>1</v>
      </c>
      <c r="H66" s="104"/>
      <c r="I66" s="101"/>
      <c r="J66" s="152" t="s">
        <v>93</v>
      </c>
      <c r="K66" s="114"/>
      <c r="L66" s="122"/>
      <c r="M66" s="122"/>
      <c r="N66" s="136"/>
      <c r="O66" s="115">
        <v>0</v>
      </c>
      <c r="P66" s="101"/>
      <c r="Q66" s="101"/>
      <c r="R66" s="137" t="s">
        <v>56</v>
      </c>
      <c r="S66" s="101"/>
      <c r="T66" s="101"/>
      <c r="U66" s="101"/>
      <c r="V66" s="101"/>
      <c r="W66" s="99"/>
      <c r="X66" s="99"/>
      <c r="Y66" s="99"/>
      <c r="Z66" s="101"/>
    </row>
    <row r="67" spans="5:26" x14ac:dyDescent="0.3">
      <c r="E67" s="152" t="s">
        <v>112</v>
      </c>
      <c r="F67" s="136"/>
      <c r="G67" s="115">
        <v>0</v>
      </c>
      <c r="H67" s="104"/>
      <c r="I67" s="101"/>
      <c r="J67" s="152" t="s">
        <v>94</v>
      </c>
      <c r="K67" s="114"/>
      <c r="L67" s="122"/>
      <c r="M67" s="122"/>
      <c r="N67" s="136"/>
      <c r="O67" s="115">
        <v>0</v>
      </c>
      <c r="P67" s="101"/>
      <c r="Q67" s="101"/>
      <c r="R67" s="151" t="s">
        <v>108</v>
      </c>
      <c r="S67" s="109"/>
      <c r="T67" s="110"/>
      <c r="U67" s="111"/>
      <c r="V67" s="112">
        <v>1</v>
      </c>
      <c r="W67" s="99"/>
      <c r="X67" s="99"/>
      <c r="Y67" s="99"/>
      <c r="Z67" s="101"/>
    </row>
    <row r="68" spans="5:26" x14ac:dyDescent="0.3">
      <c r="E68" s="152" t="s">
        <v>113</v>
      </c>
      <c r="F68" s="136"/>
      <c r="G68" s="115">
        <v>0</v>
      </c>
      <c r="H68" s="104"/>
      <c r="I68" s="101"/>
      <c r="J68" s="155" t="s">
        <v>95</v>
      </c>
      <c r="K68" s="123"/>
      <c r="L68" s="129"/>
      <c r="M68" s="129"/>
      <c r="N68" s="138"/>
      <c r="O68" s="124">
        <v>0</v>
      </c>
      <c r="P68" s="101"/>
      <c r="Q68" s="101"/>
      <c r="R68" s="154" t="s">
        <v>57</v>
      </c>
      <c r="S68" s="118"/>
      <c r="T68" s="119"/>
      <c r="U68" s="120"/>
      <c r="V68" s="121"/>
      <c r="W68" s="99"/>
      <c r="X68" s="99"/>
      <c r="Y68" s="99"/>
      <c r="Z68" s="101"/>
    </row>
    <row r="69" spans="5:26" x14ac:dyDescent="0.3">
      <c r="E69" s="152" t="s">
        <v>114</v>
      </c>
      <c r="F69" s="136"/>
      <c r="G69" s="115">
        <v>0</v>
      </c>
      <c r="H69" s="98"/>
      <c r="I69" s="101"/>
      <c r="J69" s="101"/>
      <c r="K69" s="101"/>
      <c r="L69" s="101"/>
      <c r="M69" s="101"/>
      <c r="N69" s="101"/>
      <c r="O69" s="101"/>
      <c r="P69" s="101"/>
      <c r="Q69" s="101"/>
      <c r="R69" s="154" t="s">
        <v>58</v>
      </c>
      <c r="S69" s="118"/>
      <c r="T69" s="119"/>
      <c r="U69" s="120"/>
      <c r="V69" s="121">
        <v>0</v>
      </c>
      <c r="W69" s="99"/>
      <c r="X69" s="99"/>
      <c r="Y69" s="99"/>
      <c r="Z69" s="101"/>
    </row>
    <row r="70" spans="5:26" x14ac:dyDescent="0.3">
      <c r="E70" s="152" t="s">
        <v>115</v>
      </c>
      <c r="F70" s="136"/>
      <c r="G70" s="115">
        <v>0</v>
      </c>
      <c r="H70" s="98"/>
      <c r="I70" s="101"/>
      <c r="J70" s="101"/>
      <c r="K70" s="101"/>
      <c r="L70" s="101"/>
      <c r="M70" s="101"/>
      <c r="N70" s="101"/>
      <c r="O70" s="101"/>
      <c r="P70" s="101"/>
      <c r="Q70" s="101"/>
      <c r="R70" s="154" t="s">
        <v>59</v>
      </c>
      <c r="S70" s="118"/>
      <c r="T70" s="119"/>
      <c r="U70" s="120"/>
      <c r="V70" s="121">
        <v>0</v>
      </c>
      <c r="W70" s="99"/>
      <c r="X70" s="99"/>
      <c r="Y70" s="99"/>
      <c r="Z70" s="101"/>
    </row>
    <row r="71" spans="5:26" x14ac:dyDescent="0.3">
      <c r="E71" s="152" t="s">
        <v>116</v>
      </c>
      <c r="F71" s="136"/>
      <c r="G71" s="115"/>
      <c r="H71" s="98"/>
      <c r="I71" s="101"/>
      <c r="J71" s="149" t="s">
        <v>39</v>
      </c>
      <c r="K71" s="101"/>
      <c r="L71" s="101"/>
      <c r="M71" s="101"/>
      <c r="N71" s="101"/>
      <c r="O71" s="101"/>
      <c r="P71" s="101"/>
      <c r="Q71" s="101"/>
      <c r="R71" s="154" t="s">
        <v>60</v>
      </c>
      <c r="S71" s="118"/>
      <c r="T71" s="119"/>
      <c r="U71" s="120"/>
      <c r="V71" s="121">
        <v>0</v>
      </c>
      <c r="W71" s="99"/>
      <c r="X71" s="99"/>
      <c r="Y71" s="99"/>
      <c r="Z71" s="101"/>
    </row>
    <row r="72" spans="5:26" x14ac:dyDescent="0.3">
      <c r="E72" s="152" t="s">
        <v>117</v>
      </c>
      <c r="F72" s="136"/>
      <c r="G72" s="115"/>
      <c r="H72" s="98"/>
      <c r="I72" s="101"/>
      <c r="J72" s="160" t="s">
        <v>96</v>
      </c>
      <c r="K72" s="139"/>
      <c r="L72" s="139"/>
      <c r="M72" s="139"/>
      <c r="N72" s="139"/>
      <c r="O72" s="140">
        <v>0</v>
      </c>
      <c r="P72" s="101"/>
      <c r="Q72" s="101"/>
      <c r="R72" s="156" t="s">
        <v>61</v>
      </c>
      <c r="S72" s="132"/>
      <c r="T72" s="133"/>
      <c r="U72" s="134"/>
      <c r="V72" s="125">
        <v>0</v>
      </c>
      <c r="W72" s="99"/>
      <c r="X72" s="99"/>
      <c r="Y72" s="99"/>
      <c r="Z72" s="101"/>
    </row>
    <row r="73" spans="5:26" x14ac:dyDescent="0.3">
      <c r="E73" s="155" t="s">
        <v>118</v>
      </c>
      <c r="F73" s="138"/>
      <c r="G73" s="131">
        <v>1</v>
      </c>
      <c r="H73" s="98"/>
      <c r="I73" s="101"/>
      <c r="J73" s="160" t="s">
        <v>97</v>
      </c>
      <c r="K73" s="139"/>
      <c r="L73" s="139"/>
      <c r="M73" s="139"/>
      <c r="N73" s="139"/>
      <c r="O73" s="140"/>
      <c r="P73" s="99"/>
      <c r="Q73" s="99"/>
      <c r="R73" s="101"/>
      <c r="S73" s="101"/>
      <c r="T73" s="101"/>
      <c r="U73" s="99"/>
      <c r="V73" s="99"/>
      <c r="W73" s="99"/>
      <c r="X73" s="99"/>
      <c r="Y73" s="99"/>
      <c r="Z73" s="101"/>
    </row>
  </sheetData>
  <mergeCells count="1">
    <mergeCell ref="Y60:Z60"/>
  </mergeCells>
  <conditionalFormatting sqref="E24 E19:E21">
    <cfRule type="cellIs" dxfId="7" priority="6" stopIfTrue="1" operator="equal">
      <formula>"NA"</formula>
    </cfRule>
  </conditionalFormatting>
  <conditionalFormatting sqref="F26:F35 G26:G34">
    <cfRule type="cellIs" dxfId="6" priority="5" operator="greaterThan">
      <formula>0</formula>
    </cfRule>
  </conditionalFormatting>
  <conditionalFormatting sqref="F35:G35">
    <cfRule type="cellIs" dxfId="5" priority="4" operator="greaterThan">
      <formula>0</formula>
    </cfRule>
  </conditionalFormatting>
  <conditionalFormatting sqref="E40">
    <cfRule type="cellIs" dxfId="4" priority="3" stopIfTrue="1" operator="equal">
      <formula>"NA"</formula>
    </cfRule>
  </conditionalFormatting>
  <conditionalFormatting sqref="F42:F51 G42:G50">
    <cfRule type="cellIs" dxfId="3" priority="2" operator="greaterThan">
      <formula>0</formula>
    </cfRule>
  </conditionalFormatting>
  <conditionalFormatting sqref="F51:G51">
    <cfRule type="cellIs" dxfId="2" priority="1" operator="greaterThan">
      <formula>0</formula>
    </cfRule>
  </conditionalFormatting>
  <pageMargins left="0.7" right="0.7" top="0.75" bottom="0.75" header="0.3" footer="0.3"/>
  <pageSetup scale="77"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E7:J28"/>
  <sheetViews>
    <sheetView workbookViewId="0">
      <selection activeCell="E7" sqref="E7"/>
    </sheetView>
  </sheetViews>
  <sheetFormatPr defaultRowHeight="14.4" x14ac:dyDescent="0.3"/>
  <cols>
    <col min="5" max="5" width="24.6640625" bestFit="1" customWidth="1"/>
    <col min="6" max="6" width="12.5546875" bestFit="1" customWidth="1"/>
  </cols>
  <sheetData>
    <row r="7" spans="5:10" ht="15" x14ac:dyDescent="0.25">
      <c r="F7">
        <v>2014</v>
      </c>
      <c r="G7">
        <v>2015</v>
      </c>
      <c r="H7">
        <v>2016</v>
      </c>
      <c r="I7">
        <v>2017</v>
      </c>
      <c r="J7">
        <v>2018</v>
      </c>
    </row>
    <row r="8" spans="5:10" ht="15.75" x14ac:dyDescent="0.25">
      <c r="E8" s="40" t="s">
        <v>11</v>
      </c>
    </row>
    <row r="9" spans="5:10" ht="15" x14ac:dyDescent="0.25">
      <c r="E9" s="17" t="s">
        <v>5</v>
      </c>
      <c r="F9" s="163">
        <f>'Base Data'!D17</f>
        <v>206996.79617636107</v>
      </c>
      <c r="G9" s="163">
        <f>'Base Data'!E17</f>
        <v>181740.09923892212</v>
      </c>
      <c r="H9" s="163">
        <f>'Base Data'!F17</f>
        <v>158375.60529335029</v>
      </c>
      <c r="I9" s="163">
        <f>'Base Data'!G17</f>
        <v>112553.98382951354</v>
      </c>
      <c r="J9" s="163">
        <f>'Base Data'!H17</f>
        <v>107225.31586876675</v>
      </c>
    </row>
    <row r="10" spans="5:10" ht="15" x14ac:dyDescent="0.25">
      <c r="E10" s="17" t="s">
        <v>6</v>
      </c>
      <c r="F10" s="163">
        <f>'Base Data'!D18</f>
        <v>0</v>
      </c>
      <c r="G10" s="163">
        <f>'Base Data'!E18</f>
        <v>0</v>
      </c>
      <c r="H10" s="163">
        <f>'Base Data'!F18</f>
        <v>0</v>
      </c>
      <c r="I10" s="163">
        <f>'Base Data'!G18</f>
        <v>0</v>
      </c>
      <c r="J10" s="163">
        <f>'Base Data'!H18</f>
        <v>0</v>
      </c>
    </row>
    <row r="11" spans="5:10" ht="15" x14ac:dyDescent="0.25">
      <c r="E11" s="17" t="s">
        <v>13</v>
      </c>
      <c r="F11" s="163">
        <f>'Base Data'!D19</f>
        <v>178227.56279952324</v>
      </c>
      <c r="G11" s="163">
        <f>'Base Data'!E19</f>
        <v>188973.34371501132</v>
      </c>
      <c r="H11" s="163">
        <f>'Base Data'!F19</f>
        <v>211114.77581362729</v>
      </c>
      <c r="I11" s="163">
        <f>'Base Data'!G19</f>
        <v>258438.70768449194</v>
      </c>
      <c r="J11" s="163">
        <f>'Base Data'!H19</f>
        <v>309328.00197103759</v>
      </c>
    </row>
    <row r="12" spans="5:10" ht="15" x14ac:dyDescent="0.25">
      <c r="E12" s="11" t="s">
        <v>14</v>
      </c>
      <c r="F12" s="163">
        <f>'Base Data'!D20</f>
        <v>0</v>
      </c>
      <c r="G12" s="163">
        <f>'Base Data'!E20</f>
        <v>0</v>
      </c>
      <c r="H12" s="163">
        <f>'Base Data'!F20</f>
        <v>0</v>
      </c>
      <c r="I12" s="163">
        <f>'Base Data'!G20</f>
        <v>0</v>
      </c>
      <c r="J12" s="163">
        <f>'Base Data'!H20</f>
        <v>0</v>
      </c>
    </row>
    <row r="13" spans="5:10" ht="15" x14ac:dyDescent="0.25">
      <c r="E13" s="17" t="s">
        <v>8</v>
      </c>
      <c r="F13" s="163">
        <f>'Base Data'!D21</f>
        <v>0</v>
      </c>
      <c r="G13" s="163">
        <f>'Base Data'!E21</f>
        <v>0</v>
      </c>
      <c r="H13" s="163">
        <f>'Base Data'!F21</f>
        <v>0</v>
      </c>
      <c r="I13" s="163">
        <f>'Base Data'!G21</f>
        <v>0</v>
      </c>
      <c r="J13" s="163">
        <f>'Base Data'!H21</f>
        <v>0</v>
      </c>
    </row>
    <row r="14" spans="5:10" ht="15" x14ac:dyDescent="0.25">
      <c r="E14" s="17" t="s">
        <v>4</v>
      </c>
      <c r="F14" s="163">
        <f>'Base Data'!D22</f>
        <v>-5161.9873412202223</v>
      </c>
      <c r="G14" s="163">
        <f>'Base Data'!E22</f>
        <v>-1304.5701266006242</v>
      </c>
      <c r="H14" s="163">
        <f>'Base Data'!F22</f>
        <v>-5017.2774935818024</v>
      </c>
      <c r="I14" s="163">
        <f>'Base Data'!G22</f>
        <v>-3173.8565172167173</v>
      </c>
      <c r="J14" s="163">
        <f>'Base Data'!H22</f>
        <v>0</v>
      </c>
    </row>
    <row r="15" spans="5:10" ht="15" x14ac:dyDescent="0.25">
      <c r="E15" s="17" t="s">
        <v>9</v>
      </c>
      <c r="F15" s="163">
        <f>'Base Data'!D23</f>
        <v>118953.84115064144</v>
      </c>
      <c r="G15" s="163">
        <f>'Base Data'!E23</f>
        <v>111042.4986525774</v>
      </c>
      <c r="H15" s="163">
        <f>'Base Data'!F23</f>
        <v>117807.83198028804</v>
      </c>
      <c r="I15" s="163">
        <f>'Base Data'!G23</f>
        <v>136302.2709736824</v>
      </c>
      <c r="J15" s="163">
        <f>'Base Data'!H23</f>
        <v>149846.23457318544</v>
      </c>
    </row>
    <row r="16" spans="5:10" ht="15" x14ac:dyDescent="0.25">
      <c r="E16" s="17" t="s">
        <v>15</v>
      </c>
      <c r="F16" s="163">
        <f>'Base Data'!D24</f>
        <v>499016.21278530551</v>
      </c>
      <c r="G16" s="163">
        <f>'Base Data'!E24</f>
        <v>480451.37147991022</v>
      </c>
      <c r="H16" s="163">
        <f>'Base Data'!F24</f>
        <v>482280.9355936838</v>
      </c>
      <c r="I16" s="163">
        <f>'Base Data'!G24</f>
        <v>504121.10597047117</v>
      </c>
      <c r="J16" s="163">
        <f>'Base Data'!H24</f>
        <v>566399.55241298978</v>
      </c>
    </row>
    <row r="19" spans="5:10" ht="15" x14ac:dyDescent="0.25">
      <c r="F19">
        <f>F7</f>
        <v>2014</v>
      </c>
      <c r="G19">
        <f t="shared" ref="G19:J19" si="0">G7</f>
        <v>2015</v>
      </c>
      <c r="H19">
        <f t="shared" si="0"/>
        <v>2016</v>
      </c>
      <c r="I19">
        <f t="shared" si="0"/>
        <v>2017</v>
      </c>
      <c r="J19">
        <f t="shared" si="0"/>
        <v>2018</v>
      </c>
    </row>
    <row r="20" spans="5:10" ht="15.75" x14ac:dyDescent="0.25">
      <c r="E20" s="40" t="s">
        <v>11</v>
      </c>
    </row>
    <row r="21" spans="5:10" ht="15" x14ac:dyDescent="0.25">
      <c r="E21" s="17" t="s">
        <v>5</v>
      </c>
      <c r="F21" s="163">
        <f>'Base with Jefferson County'!D17</f>
        <v>216581.35867636107</v>
      </c>
      <c r="G21" s="163">
        <f>'Base with Jefferson County'!E17</f>
        <v>191865.53673892212</v>
      </c>
      <c r="H21" s="163">
        <f>'Base with Jefferson County'!F17</f>
        <v>169195.01154335029</v>
      </c>
      <c r="I21" s="163">
        <f>'Base with Jefferson County'!G17</f>
        <v>124972.60882951354</v>
      </c>
      <c r="J21" s="163">
        <f>'Base with Jefferson County'!H17</f>
        <v>97078.130321891746</v>
      </c>
    </row>
    <row r="22" spans="5:10" ht="15" x14ac:dyDescent="0.25">
      <c r="E22" s="17" t="s">
        <v>6</v>
      </c>
      <c r="F22" s="163">
        <f>'Base with Jefferson County'!D18</f>
        <v>0</v>
      </c>
      <c r="G22" s="163">
        <f>'Base with Jefferson County'!E18</f>
        <v>0</v>
      </c>
      <c r="H22" s="163">
        <f>'Base with Jefferson County'!F18</f>
        <v>0</v>
      </c>
      <c r="I22" s="163">
        <f>'Base with Jefferson County'!G18</f>
        <v>0</v>
      </c>
      <c r="J22" s="163">
        <f>'Base with Jefferson County'!H18</f>
        <v>0</v>
      </c>
    </row>
    <row r="23" spans="5:10" ht="15" x14ac:dyDescent="0.25">
      <c r="E23" s="17" t="s">
        <v>13</v>
      </c>
      <c r="F23" s="163">
        <f>'Base with Jefferson County'!D19</f>
        <v>178227.56279952324</v>
      </c>
      <c r="G23" s="163">
        <f>'Base with Jefferson County'!E19</f>
        <v>188973.34371501132</v>
      </c>
      <c r="H23" s="163">
        <f>'Base with Jefferson County'!F19</f>
        <v>211114.77581362729</v>
      </c>
      <c r="I23" s="163">
        <f>'Base with Jefferson County'!G19</f>
        <v>258438.70768449194</v>
      </c>
      <c r="J23" s="163">
        <f>'Base with Jefferson County'!H19</f>
        <v>309328.00197103759</v>
      </c>
    </row>
    <row r="24" spans="5:10" ht="15" x14ac:dyDescent="0.25">
      <c r="E24" s="11" t="s">
        <v>14</v>
      </c>
      <c r="F24" s="163">
        <f>'Base with Jefferson County'!D20</f>
        <v>0</v>
      </c>
      <c r="G24" s="163">
        <f>'Base with Jefferson County'!E20</f>
        <v>0</v>
      </c>
      <c r="H24" s="163">
        <f>'Base with Jefferson County'!F20</f>
        <v>0</v>
      </c>
      <c r="I24" s="163">
        <f>'Base with Jefferson County'!G20</f>
        <v>0</v>
      </c>
      <c r="J24" s="163">
        <f>'Base with Jefferson County'!H20</f>
        <v>0</v>
      </c>
    </row>
    <row r="25" spans="5:10" ht="15" x14ac:dyDescent="0.25">
      <c r="E25" s="17" t="s">
        <v>8</v>
      </c>
      <c r="F25" s="163">
        <f>'Base with Jefferson County'!D21</f>
        <v>0</v>
      </c>
      <c r="G25" s="163">
        <f>'Base with Jefferson County'!E21</f>
        <v>0</v>
      </c>
      <c r="H25" s="163">
        <f>'Base with Jefferson County'!F21</f>
        <v>0</v>
      </c>
      <c r="I25" s="163">
        <f>'Base with Jefferson County'!G21</f>
        <v>0</v>
      </c>
      <c r="J25" s="163">
        <f>'Base with Jefferson County'!H21</f>
        <v>66814.116797946976</v>
      </c>
    </row>
    <row r="26" spans="5:10" ht="15" x14ac:dyDescent="0.25">
      <c r="E26" s="17" t="s">
        <v>4</v>
      </c>
      <c r="F26" s="163">
        <f>'Base with Jefferson County'!D22</f>
        <v>-5148.4477989102234</v>
      </c>
      <c r="G26" s="163">
        <f>'Base with Jefferson County'!E22</f>
        <v>-1220.7722042561236</v>
      </c>
      <c r="H26" s="163">
        <f>'Base with Jefferson County'!F22</f>
        <v>-4929.9735603544968</v>
      </c>
      <c r="I26" s="163">
        <f>'Base with Jefferson County'!G22</f>
        <v>-3022.1699926038218</v>
      </c>
      <c r="J26" s="163">
        <f>'Base with Jefferson County'!H22</f>
        <v>0</v>
      </c>
    </row>
    <row r="27" spans="5:10" ht="15" x14ac:dyDescent="0.25">
      <c r="E27" s="17" t="s">
        <v>9</v>
      </c>
      <c r="F27" s="163">
        <f>'Base with Jefferson County'!D23</f>
        <v>118953.84115064144</v>
      </c>
      <c r="G27" s="163">
        <f>'Base with Jefferson County'!E23</f>
        <v>111042.4986525774</v>
      </c>
      <c r="H27" s="163">
        <f>'Base with Jefferson County'!F23</f>
        <v>117807.83198028804</v>
      </c>
      <c r="I27" s="163">
        <f>'Base with Jefferson County'!G23</f>
        <v>136302.2709736824</v>
      </c>
      <c r="J27" s="163">
        <f>'Base with Jefferson County'!H23</f>
        <v>149846.23457318544</v>
      </c>
    </row>
    <row r="28" spans="5:10" ht="15" x14ac:dyDescent="0.25">
      <c r="E28" s="17" t="s">
        <v>15</v>
      </c>
      <c r="F28" s="163">
        <f>'Base with Jefferson County'!D24</f>
        <v>508614.31482761551</v>
      </c>
      <c r="G28" s="163">
        <f>'Base with Jefferson County'!E24</f>
        <v>490660.60690225469</v>
      </c>
      <c r="H28" s="163">
        <f>'Base with Jefferson County'!F24</f>
        <v>493187.64577691111</v>
      </c>
      <c r="I28" s="163">
        <f>'Base with Jefferson County'!G24</f>
        <v>516691.41749508405</v>
      </c>
      <c r="J28" s="163">
        <f>'Base with Jefferson County'!H24</f>
        <v>623066.48366406176</v>
      </c>
    </row>
  </sheetData>
  <conditionalFormatting sqref="E15:E16">
    <cfRule type="cellIs" dxfId="1" priority="2" stopIfTrue="1" operator="equal">
      <formula>"NA"</formula>
    </cfRule>
  </conditionalFormatting>
  <conditionalFormatting sqref="E27:E28">
    <cfRule type="cellIs" dxfId="0" priority="1" stopIfTrue="1" operator="equal">
      <formula>"NA"</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87A0A5D7D9C4E4DAB7922844D35C890" ma:contentTypeVersion="135" ma:contentTypeDescription="" ma:contentTypeScope="" ma:versionID="70a3fd3cd15240eeeb6ebd65f477f98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Petition for Accounting Order</CaseType>
    <IndustryCode xmlns="dc463f71-b30c-4ab2-9473-d307f9d35888">140</IndustryCode>
    <CaseStatus xmlns="dc463f71-b30c-4ab2-9473-d307f9d35888">Closed</CaseStatus>
    <OpenedDate xmlns="dc463f71-b30c-4ab2-9473-d307f9d35888">2013-10-31T07:00:00+00:00</OpenedDate>
    <Date1 xmlns="dc463f71-b30c-4ab2-9473-d307f9d35888">2014-03-28T07:00:00+00:00</Date1>
    <IsDocumentOrder xmlns="dc463f71-b30c-4ab2-9473-d307f9d35888" xsi:nil="true"/>
    <IsHighlyConfidential xmlns="dc463f71-b30c-4ab2-9473-d307f9d35888">false</IsHighlyConfidential>
    <CaseCompanyNames xmlns="dc463f71-b30c-4ab2-9473-d307f9d35888">Puget Sound Energy</CaseCompanyNames>
    <DocketNumber xmlns="dc463f71-b30c-4ab2-9473-d307f9d35888">132027</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EA42879A-3570-4A78-9211-C7483B50894C}"/>
</file>

<file path=customXml/itemProps2.xml><?xml version="1.0" encoding="utf-8"?>
<ds:datastoreItem xmlns:ds="http://schemas.openxmlformats.org/officeDocument/2006/customXml" ds:itemID="{23140C66-CDBD-419D-9FAE-213A43476944}"/>
</file>

<file path=customXml/itemProps3.xml><?xml version="1.0" encoding="utf-8"?>
<ds:datastoreItem xmlns:ds="http://schemas.openxmlformats.org/officeDocument/2006/customXml" ds:itemID="{2640F72E-3B17-427F-A18E-C2FBE4A9D804}"/>
</file>

<file path=customXml/itemProps4.xml><?xml version="1.0" encoding="utf-8"?>
<ds:datastoreItem xmlns:ds="http://schemas.openxmlformats.org/officeDocument/2006/customXml" ds:itemID="{5A370938-9885-447E-89EF-15E55ECD49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Exhibit JRD-3</vt:lpstr>
      <vt:lpstr>Price Forecast</vt:lpstr>
      <vt:lpstr>Incr Power Cost Summary</vt:lpstr>
      <vt:lpstr>Base Data</vt:lpstr>
      <vt:lpstr>Base with Jefferson County</vt:lpstr>
      <vt:lpstr>Portfolio Cost Comparison</vt:lpstr>
      <vt:lpstr>Build Comparison</vt:lpstr>
      <vt:lpstr>Revenue Req 1st 5yrs</vt:lpstr>
      <vt:lpstr>DSR</vt:lpstr>
      <vt:lpstr>'Build Comparison'!Print_Area</vt:lpstr>
      <vt:lpstr>'Incr Power Cost Summary'!Print_Area</vt:lpstr>
    </vt:vector>
  </TitlesOfParts>
  <Company>Puget Sound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Puget Sound Energy</dc:creator>
  <cp:lastModifiedBy>carolw</cp:lastModifiedBy>
  <cp:lastPrinted>2014-03-27T20:20:05Z</cp:lastPrinted>
  <dcterms:created xsi:type="dcterms:W3CDTF">2013-08-22T18:34:52Z</dcterms:created>
  <dcterms:modified xsi:type="dcterms:W3CDTF">2014-03-27T20:20:12Z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0x0101006E56B4D1795A2E4DB2F0B01679ED314A00C87A0A5D7D9C4E4DAB7922844D35C890</vt:lpwstr>
  </property>
  <property fmtid="{D5CDD505-2E9C-101B-9397-08002B2CF9AE}" pid="3" name="_docset_NoMedatataSyncRequired">
    <vt:lpwstr>False</vt:lpwstr>
  </property>
</Properties>
</file>