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690" windowHeight="7290" tabRatio="731" activeTab="1"/>
  </bookViews>
  <sheets>
    <sheet name="Index" sheetId="1" r:id="rId1"/>
    <sheet name="WGJ-5" sheetId="2" r:id="rId2"/>
    <sheet name="WGJ-2" sheetId="3" r:id="rId3"/>
    <sheet name="WGJ-4" sheetId="4" r:id="rId4"/>
    <sheet name="Aurora" sheetId="5" r:id="rId5"/>
  </sheets>
  <definedNames>
    <definedName name="_xlnm.Print_Area" localSheetId="0">'Index'!$A$21:$O$66</definedName>
    <definedName name="_xlnm.Print_Area" localSheetId="2">'WGJ-2'!$A$1:$F$125</definedName>
    <definedName name="_xlnm.Print_Area" localSheetId="3">'WGJ-4'!$A$1:$O$57</definedName>
    <definedName name="_xlnm.Print_Titles" localSheetId="2">'WGJ-2'!$1:$6</definedName>
  </definedNames>
  <calcPr fullCalcOnLoad="1"/>
</workbook>
</file>

<file path=xl/sharedStrings.xml><?xml version="1.0" encoding="utf-8"?>
<sst xmlns="http://schemas.openxmlformats.org/spreadsheetml/2006/main" count="308" uniqueCount="259">
  <si>
    <t>Line</t>
  </si>
  <si>
    <t>No.</t>
  </si>
  <si>
    <t>Actuals</t>
  </si>
  <si>
    <t>Adjustment</t>
  </si>
  <si>
    <t>555 PURCHASED POWER</t>
  </si>
  <si>
    <t>Rocky Reach</t>
  </si>
  <si>
    <t>Wanapum</t>
  </si>
  <si>
    <t>WNP-3</t>
  </si>
  <si>
    <t>Deer Lake-IP&amp;L</t>
  </si>
  <si>
    <t>Spokane-Upriver</t>
  </si>
  <si>
    <t>Total Account 555</t>
  </si>
  <si>
    <t xml:space="preserve"> </t>
  </si>
  <si>
    <t>565 TRANSMISSION OF ELECTRICITY BY OTHERS</t>
  </si>
  <si>
    <t>Garrison-Burke</t>
  </si>
  <si>
    <t>Total Account 565</t>
  </si>
  <si>
    <t>Broker Commission Fees</t>
  </si>
  <si>
    <t>Total Account 557</t>
  </si>
  <si>
    <t>536 WATER FOR POWER</t>
  </si>
  <si>
    <t>TOTAL EXPENSE</t>
  </si>
  <si>
    <t>447 SALES FOR RESALE</t>
  </si>
  <si>
    <t>Total Account 447</t>
  </si>
  <si>
    <t>456 OTHER ELECTRIC REVENUE</t>
  </si>
  <si>
    <t>Total Account 456</t>
  </si>
  <si>
    <t>TOTAL REVENUE</t>
  </si>
  <si>
    <t>Kettle Falls</t>
  </si>
  <si>
    <t>Total Account 501</t>
  </si>
  <si>
    <t>Colstrip</t>
  </si>
  <si>
    <t>BPA Townsend-Garrison Wheeling</t>
  </si>
  <si>
    <t>Upstream Storage Revenue</t>
  </si>
  <si>
    <t>Black Creek Wheeling</t>
  </si>
  <si>
    <t>557 OTHER EXPENSES</t>
  </si>
  <si>
    <t>453 SALES OF WATER AND WATER POWER</t>
  </si>
  <si>
    <t>Black Creek Index Purchase</t>
  </si>
  <si>
    <t>PGE Firm Wheeling</t>
  </si>
  <si>
    <t>Nichols Pumping Sale</t>
  </si>
  <si>
    <t>Pend Oreille DES &amp; Spinning</t>
  </si>
  <si>
    <t>Avista Corp.</t>
  </si>
  <si>
    <t>Total</t>
  </si>
  <si>
    <t>Colstrip MWh</t>
  </si>
  <si>
    <t>Colstrip Fuel Cost</t>
  </si>
  <si>
    <t>Kettle Falls MWh</t>
  </si>
  <si>
    <t>Kettle Falls Fuel Cost</t>
  </si>
  <si>
    <t>Rathdrum MWh</t>
  </si>
  <si>
    <t>Rathdrum Fuel Cost</t>
  </si>
  <si>
    <t>Total Fuel Expense</t>
  </si>
  <si>
    <t>Nichols Pumping</t>
  </si>
  <si>
    <t>Sales</t>
  </si>
  <si>
    <t>Northeast MWh</t>
  </si>
  <si>
    <t>Northeast Fuel Cost</t>
  </si>
  <si>
    <t>Total Account 547</t>
  </si>
  <si>
    <t>Rathdrum Municipal Payment</t>
  </si>
  <si>
    <t>Kettle Falls - Wood Fuel</t>
  </si>
  <si>
    <t>Colstrip - Coal</t>
  </si>
  <si>
    <t>Colstip - Oil</t>
  </si>
  <si>
    <t>501 THERMAL FUEL EXPENSE</t>
  </si>
  <si>
    <t>547 OTHER FUEL EXPENSE</t>
  </si>
  <si>
    <t>549 MISC OTHER GENERATION EXPENSE</t>
  </si>
  <si>
    <t xml:space="preserve">Non-Monetary </t>
  </si>
  <si>
    <t>454 MISC RENTS</t>
  </si>
  <si>
    <t>Colstrip Rents</t>
  </si>
  <si>
    <t>$</t>
  </si>
  <si>
    <t>Secondary Sales - MWh</t>
  </si>
  <si>
    <t>Secondary Purchase - MWh</t>
  </si>
  <si>
    <t>Boulder Park Fuel Cost</t>
  </si>
  <si>
    <t>Boulder Park MWh</t>
  </si>
  <si>
    <t>Kettle Falls CT Fuel Cost</t>
  </si>
  <si>
    <t>Kettle Falls CT MWh</t>
  </si>
  <si>
    <t>Coyote Springs Gas</t>
  </si>
  <si>
    <t>Boulder Park Gas</t>
  </si>
  <si>
    <t>Kettle Falls CT Gas</t>
  </si>
  <si>
    <t>Northeast CT Gas</t>
  </si>
  <si>
    <t>Rathdrum  Gas</t>
  </si>
  <si>
    <t>Scenario 1</t>
  </si>
  <si>
    <t>ANNUAL</t>
  </si>
  <si>
    <t>GENERATION (GWh)</t>
  </si>
  <si>
    <t>Boulder Park</t>
  </si>
  <si>
    <t>Coyote Springs</t>
  </si>
  <si>
    <t>Kettle Falls CT</t>
  </si>
  <si>
    <t>Northeast</t>
  </si>
  <si>
    <t>Rathdrum</t>
  </si>
  <si>
    <t>FUEL COST ($000)</t>
  </si>
  <si>
    <t>MARKET (GWh)</t>
  </si>
  <si>
    <t>Market Purch</t>
  </si>
  <si>
    <t>Market Sale</t>
  </si>
  <si>
    <t>MARKET ($000)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</si>
  <si>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</si>
  <si>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</si>
  <si>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</si>
  <si>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</si>
  <si>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</si>
  <si>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</si>
  <si>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</si>
  <si>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</si>
  <si>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</si>
  <si>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</si>
  <si>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</si>
  <si>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</si>
  <si>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Coyote Springs Fuel Cost</t>
  </si>
  <si>
    <t>Net Fuel and Purchase Expense</t>
  </si>
  <si>
    <t>Coyote Springs  MWh</t>
  </si>
  <si>
    <t>(GWh)</t>
  </si>
  <si>
    <t>FUEL USE (MMBtu)</t>
  </si>
  <si>
    <t>NET POWER SUPPLY COST ($000)</t>
  </si>
  <si>
    <t>MWh</t>
  </si>
  <si>
    <t>Kootenai for Worley</t>
  </si>
  <si>
    <t>Avista on BPA - Borderline</t>
  </si>
  <si>
    <t>Gas Not Consumed Sales Revenue</t>
  </si>
  <si>
    <t>Rathdrum Fuel Cost $/MWh</t>
  </si>
  <si>
    <t>Northeast Fuel Cost $/MWh</t>
  </si>
  <si>
    <t>Coyote Springs Fuel Cost  $/MWh</t>
  </si>
  <si>
    <t>Boulder Park Fuel Cost $/MWh</t>
  </si>
  <si>
    <t>Kettle Falls Fuel Cost $/MWh</t>
  </si>
  <si>
    <t>Colstrip Fuel Cost $/MWh</t>
  </si>
  <si>
    <t>Kettle Falls CT Fuel Cost $/MWh</t>
  </si>
  <si>
    <t>Headwater Benefits Payments</t>
  </si>
  <si>
    <t>Revenue</t>
  </si>
  <si>
    <t>Average Market Sales Price -$/ MWh</t>
  </si>
  <si>
    <t>Market Sales - Dollars</t>
  </si>
  <si>
    <t>Market Sales - MWh</t>
  </si>
  <si>
    <t>Market Purchases - Dollars</t>
  </si>
  <si>
    <t>Net Market Purchases (Sales) MWh</t>
  </si>
  <si>
    <t>Average Market Purchase Price - $/MWh</t>
  </si>
  <si>
    <t>Net Market Purchases (Sales) aMW</t>
  </si>
  <si>
    <t>Market Purchases - MWh</t>
  </si>
  <si>
    <t>Average Sale and Purchase Price - $/MWh</t>
  </si>
  <si>
    <t>Peaker (PGE) Capacity Sale</t>
  </si>
  <si>
    <t>Wheeling for System Sales &amp; Purchases</t>
  </si>
  <si>
    <t>normal $0</t>
  </si>
  <si>
    <t>Comment</t>
  </si>
  <si>
    <t>Market Purchases and Sales, Plant Generation and Fuel Cost Summary</t>
  </si>
  <si>
    <t>Purchases</t>
  </si>
  <si>
    <t>Contract C</t>
  </si>
  <si>
    <t>Contract D</t>
  </si>
  <si>
    <t>Sovereign/Kaiser DES</t>
  </si>
  <si>
    <t>Northwestern Load Following</t>
  </si>
  <si>
    <t>Douglas Settlement</t>
  </si>
  <si>
    <t>Grant Displacement</t>
  </si>
  <si>
    <t>modeled energy higher than actual</t>
  </si>
  <si>
    <t>index</t>
  </si>
  <si>
    <t>model</t>
  </si>
  <si>
    <t>only gas burned modeled</t>
  </si>
  <si>
    <t>exchange capacity not modeled</t>
  </si>
  <si>
    <t>modeled MWh x new contract rate</t>
  </si>
  <si>
    <t>Sagle-Northern Lights</t>
  </si>
  <si>
    <t>Jan 06 - Dec 06</t>
  </si>
  <si>
    <t>Proforma</t>
  </si>
  <si>
    <t>Authorized</t>
  </si>
  <si>
    <t>ERM Authorized</t>
  </si>
  <si>
    <t>****LOAD NEW FLAT PRICES*****</t>
  </si>
  <si>
    <t>Contract A</t>
  </si>
  <si>
    <t>Contract B</t>
  </si>
  <si>
    <t>Small Power</t>
  </si>
  <si>
    <t>Modeled Electric Price</t>
  </si>
  <si>
    <t>Black Creek Expense</t>
  </si>
  <si>
    <t>Priest Rapids Meaningful Priority, MWh</t>
  </si>
  <si>
    <t>Priest Rapids Meaningful Priority Expense</t>
  </si>
  <si>
    <t>Reasonable Portion Revenue</t>
  </si>
  <si>
    <t>Net Meaningful Priority Cost</t>
  </si>
  <si>
    <t>Net Meaningful Priority Cost per MWh</t>
  </si>
  <si>
    <t>includes Mean Pri &amp; Reas Port</t>
  </si>
  <si>
    <t xml:space="preserve">  Meaningful Priority</t>
  </si>
  <si>
    <t xml:space="preserve">  Surplus Conversion</t>
  </si>
  <si>
    <t>Surplus Conversion Cost</t>
  </si>
  <si>
    <t>Surplus Conversion MWh</t>
  </si>
  <si>
    <t xml:space="preserve">  Avista Total Slice</t>
  </si>
  <si>
    <t>Power Supply Expense</t>
  </si>
  <si>
    <t>Douglas Exchange Capacity</t>
  </si>
  <si>
    <t>Seattle Exchange Capacity</t>
  </si>
  <si>
    <t>BPA NT Deviation Energy</t>
  </si>
  <si>
    <t>Renewable Energy Credit Sales</t>
  </si>
  <si>
    <t>TOTAL NET EXPENSE</t>
  </si>
  <si>
    <t>SMUD Sale</t>
  </si>
  <si>
    <t>Ancillary Services</t>
  </si>
  <si>
    <t>REC Purchases</t>
  </si>
  <si>
    <t>Account 447 - Sale for Resale</t>
  </si>
  <si>
    <t>Account 547 - Natrual Gas Fuel</t>
  </si>
  <si>
    <t>Account 501 - Thermal Fuel</t>
  </si>
  <si>
    <t>Account 555 - Purchased Power</t>
  </si>
  <si>
    <t>Stimson</t>
  </si>
  <si>
    <t xml:space="preserve">  Grant's Share of Reasonable Portion Revenue</t>
  </si>
  <si>
    <t>Priest Rapids Project Cost</t>
  </si>
  <si>
    <t>Wanapum Total Cost</t>
  </si>
  <si>
    <t>Wanapum Total Generation, aMW</t>
  </si>
  <si>
    <t>Wanapum Total Cost per MWh</t>
  </si>
  <si>
    <t>Priest Rapids Total Generation, aMW</t>
  </si>
  <si>
    <t>Priest Rapids Total Generation, MWh</t>
  </si>
  <si>
    <t>Priest Rapids Total Cost</t>
  </si>
  <si>
    <t>Priest Rapids Total Cost per MWh</t>
  </si>
  <si>
    <t>Combined Total Cost per MWh</t>
  </si>
  <si>
    <t>Priest Rapids Project</t>
  </si>
  <si>
    <t>Market Price</t>
  </si>
  <si>
    <t>Surplus Conversion Cost per MWh</t>
  </si>
  <si>
    <t>Total Priest Rapids Product Cost</t>
  </si>
  <si>
    <t>Total Priest Rapids Product Cost per MWh</t>
  </si>
  <si>
    <t>Sand Dunes-Warden</t>
  </si>
  <si>
    <t>Black Creek, MWh</t>
  </si>
  <si>
    <t>Modeled Short-Term Market Purchases</t>
  </si>
  <si>
    <t>Modeled Short-Term Market Sales</t>
  </si>
  <si>
    <t>Pro forma</t>
  </si>
  <si>
    <t>Natural Gas Fuel Purchases</t>
  </si>
  <si>
    <t>Total Retail Sales, MWh</t>
  </si>
  <si>
    <t>Avista Corp</t>
  </si>
  <si>
    <t>Actual ST Market Purchases - Physical</t>
  </si>
  <si>
    <t>Northwestern Deviation Energy</t>
  </si>
  <si>
    <t>Spinning Reserve Purchase</t>
  </si>
  <si>
    <t>check MWh</t>
  </si>
  <si>
    <t>use 5 yr avg</t>
  </si>
  <si>
    <t>test power</t>
  </si>
  <si>
    <t>new rate</t>
  </si>
  <si>
    <t>check energy</t>
  </si>
  <si>
    <t>modeled MWh x Actual</t>
  </si>
  <si>
    <t>Actual ST Purchases - Financial  M-to-M</t>
  </si>
  <si>
    <t xml:space="preserve">  Surplus</t>
  </si>
  <si>
    <t>Priest Rapids, MWh</t>
  </si>
  <si>
    <t>Wanpum, MWh</t>
  </si>
  <si>
    <t>Total Project Generation and Cost</t>
  </si>
  <si>
    <t>Stateline Wind Purchase</t>
  </si>
  <si>
    <t>Surplus MWh</t>
  </si>
  <si>
    <t>Surplus Cost</t>
  </si>
  <si>
    <t>Surplus Cost per MWh</t>
  </si>
  <si>
    <t>Lancaster Gas</t>
  </si>
  <si>
    <t>Lancaster</t>
  </si>
  <si>
    <t>Lancaster  MWh</t>
  </si>
  <si>
    <t>Lancaster Fuel Cost  $/MWh</t>
  </si>
  <si>
    <t>Lancaster Fuel Cost</t>
  </si>
  <si>
    <t>PTP Transmission for Lancaster</t>
  </si>
  <si>
    <t>PTP Transmission  for Colstrip &amp; Coyote</t>
  </si>
  <si>
    <t>Lancaster Variable O&amp;M Payments</t>
  </si>
  <si>
    <t>Lancaster Capacity Payment</t>
  </si>
  <si>
    <t>Kettle Falls - Start-up Gas</t>
  </si>
  <si>
    <t>Power Supply Pro forma - Washington Jurisdiction</t>
  </si>
  <si>
    <t xml:space="preserve">ERM Authorized Power Supply Expense </t>
  </si>
  <si>
    <t xml:space="preserve">ERM Authorized Washington Retail Sales </t>
  </si>
  <si>
    <t>ERM Authorized Expense and Retail Sales</t>
  </si>
  <si>
    <t>Transmission Expense</t>
  </si>
  <si>
    <t>Transmission Revenue</t>
  </si>
  <si>
    <t>Wanapum Total Generation, MWh</t>
  </si>
  <si>
    <t>Jan 09 - Dec 09</t>
  </si>
  <si>
    <t>Jan 11 - Dec 11</t>
  </si>
  <si>
    <t>Clearwater Paper Co-Gen Purchase</t>
  </si>
  <si>
    <t>NaturEner</t>
  </si>
  <si>
    <t>Wells - Avista Share</t>
  </si>
  <si>
    <t>Wells - Colville Tribe's Share</t>
  </si>
  <si>
    <t>Actual ST Purchases-Physical M-to-M</t>
  </si>
  <si>
    <t>System Numbers - Jan 2009 - Dec 2009 Actual and Jan 2011 - Dec 2011 Pro Forma</t>
  </si>
  <si>
    <t>Lancaster BPA Reserves</t>
  </si>
  <si>
    <t>Lancaster Gas Transportation Optimization</t>
  </si>
  <si>
    <t>Redirected Lancaster Transmission</t>
  </si>
  <si>
    <t>Lancaster Gas Transportation</t>
  </si>
  <si>
    <t>Coyote Springs 2 Gas Transportation</t>
  </si>
  <si>
    <t>Actual ST Market Sales - Financial M-to-M</t>
  </si>
  <si>
    <t>Actual ST Market Sales - Physical</t>
  </si>
  <si>
    <t>Clearwater Paper Purchase Assigned to Idaho</t>
  </si>
  <si>
    <t>Total Adjustment Including Clearwater Paper</t>
  </si>
  <si>
    <t>Broker Fees</t>
  </si>
  <si>
    <t>Retail Revenue Credit Rate</t>
  </si>
  <si>
    <t>/MWh</t>
  </si>
  <si>
    <t>Washington Proforma January 2011 - December 2011</t>
  </si>
  <si>
    <t>Pro forma January 2011 - December 2011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</si>
</sst>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"/>
    <numFmt numFmtId="165" formatCode="#,##0\ ;\(#,##0\)"/>
    <numFmt numFmtId="166" formatCode="0.0000"/>
    <numFmt numFmtId="167" formatCode="0.0"/>
    <numFmt numFmtId="168" formatCode="&quot;$&quot;#,##0"/>
    <numFmt numFmtId="169" formatCode="&quot;$&quot;#,##0.0"/>
    <numFmt numFmtId="170" formatCode="&quot;$&quot;#,##0.00"/>
    <numFmt numFmtId="171" formatCode="0.000"/>
    <numFmt numFmtId="172" formatCode="#,##0.0_);[Red]\(#,##0.0\)"/>
    <numFmt numFmtId="173" formatCode="#,##0.0"/>
    <numFmt numFmtId="174" formatCode="&quot;$&quot;#,##0.000\ ;\(&quot;$&quot;#,##0.00\)"/>
    <numFmt numFmtId="175" formatCode="#,##0.000"/>
    <numFmt numFmtId="176" formatCode="&quot; &quot;"/>
    <numFmt numFmtId="177" formatCode="&quot;$&quot;#,##0.000"/>
    <numFmt numFmtId="178" formatCode="&quot;$&quot;#,##0.0000"/>
    <numFmt numFmtId="179" formatCode="&quot;$&quot;#,##0.00000"/>
    <numFmt numFmtId="180" formatCode="&quot;$&quot;#,##0.0_);\(&quot;$&quot;#,##0.0\)"/>
    <numFmt numFmtId="181" formatCode="&quot;$&quot;#,##0.000_);\(&quot;$&quot;#,##0.000\)"/>
    <numFmt numFmtId="182" formatCode="&quot;$&quot;#,##0.0000_);\(&quot;$&quot;#,##0.0000\)"/>
    <numFmt numFmtId="183" formatCode="#,##0.000_);[Red]\(#,##0.000\)"/>
    <numFmt numFmtId="184" formatCode="#,##0.0000_);[Red]\(#,##0.0000\)"/>
    <numFmt numFmtId="185" formatCode="&quot;$&quot;#,##0.0_);[Red]\(&quot;$&quot;#,##0.0\)"/>
    <numFmt numFmtId="186" formatCode="0.0%"/>
    <numFmt numFmtId="187" formatCode="m/d"/>
    <numFmt numFmtId="188" formatCode="0.000000"/>
    <numFmt numFmtId="189" formatCode="0.00000"/>
    <numFmt numFmtId="190" formatCode="&quot;$&quot;#,##0\ "/>
    <numFmt numFmtId="191" formatCode="&quot;$&quot;#,##0.000000"/>
    <numFmt numFmtId="192" formatCode="_(&quot;$&quot;* #,##0_);_(&quot;$&quot;* \(#,##0\);_(&quot;$&quot;* &quot;-&quot;??_);_(@_)"/>
    <numFmt numFmtId="193" formatCode="_(* #,##0_);_(* \(#,##0\);_(* &quot;-&quot;??_);_(@_)"/>
    <numFmt numFmtId="194" formatCode="0_);\(0\)"/>
  </numFmts>
  <fonts count="4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9"/>
      <name val="Geneva"/>
      <family val="0"/>
    </font>
    <font>
      <sz val="8"/>
      <name val="Geneva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Geneva"/>
      <family val="0"/>
    </font>
    <font>
      <b/>
      <u val="single"/>
      <sz val="10"/>
      <name val="Geneva"/>
      <family val="0"/>
    </font>
    <font>
      <sz val="10"/>
      <color indexed="8"/>
      <name val="Arial"/>
      <family val="2"/>
    </font>
    <font>
      <b/>
      <sz val="12"/>
      <name val="Genev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0" xfId="0" applyNumberFormat="1" applyAlignment="1">
      <alignment/>
    </xf>
    <xf numFmtId="165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0" xfId="0" applyNumberFormat="1" applyAlignment="1">
      <alignment/>
    </xf>
    <xf numFmtId="168" fontId="1" fillId="0" borderId="12" xfId="0" applyNumberFormat="1" applyFont="1" applyBorder="1" applyAlignment="1">
      <alignment horizontal="center"/>
    </xf>
    <xf numFmtId="5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5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7" fontId="0" fillId="0" borderId="10" xfId="0" applyNumberFormat="1" applyBorder="1" applyAlignment="1">
      <alignment/>
    </xf>
    <xf numFmtId="17" fontId="0" fillId="0" borderId="0" xfId="0" applyNumberFormat="1" applyBorder="1" applyAlignment="1">
      <alignment/>
    </xf>
    <xf numFmtId="170" fontId="0" fillId="0" borderId="0" xfId="0" applyNumberFormat="1" applyFont="1" applyAlignment="1">
      <alignment/>
    </xf>
    <xf numFmtId="0" fontId="0" fillId="0" borderId="17" xfId="0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5" fontId="1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72" fontId="8" fillId="0" borderId="18" xfId="0" applyNumberFormat="1" applyFont="1" applyBorder="1" applyAlignment="1">
      <alignment/>
    </xf>
    <xf numFmtId="172" fontId="0" fillId="0" borderId="18" xfId="0" applyNumberFormat="1" applyBorder="1" applyAlignment="1">
      <alignment/>
    </xf>
    <xf numFmtId="172" fontId="7" fillId="0" borderId="18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9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8" fontId="10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172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38" fontId="7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70" fontId="0" fillId="0" borderId="19" xfId="0" applyNumberFormat="1" applyBorder="1" applyAlignment="1">
      <alignment horizontal="center"/>
    </xf>
    <xf numFmtId="172" fontId="9" fillId="0" borderId="0" xfId="0" applyNumberFormat="1" applyFont="1" applyAlignment="1">
      <alignment horizontal="left"/>
    </xf>
    <xf numFmtId="172" fontId="7" fillId="0" borderId="0" xfId="0" applyNumberFormat="1" applyFont="1" applyAlignment="1">
      <alignment horizontal="center"/>
    </xf>
    <xf numFmtId="170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170" fontId="1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5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173" fontId="0" fillId="0" borderId="0" xfId="0" applyNumberFormat="1" applyBorder="1" applyAlignment="1">
      <alignment horizontal="left"/>
    </xf>
    <xf numFmtId="3" fontId="0" fillId="0" borderId="0" xfId="0" applyNumberFormat="1" applyFill="1" applyAlignment="1">
      <alignment horizontal="right"/>
    </xf>
    <xf numFmtId="170" fontId="0" fillId="33" borderId="0" xfId="42" applyNumberFormat="1" applyFont="1" applyFill="1" applyAlignment="1">
      <alignment/>
    </xf>
    <xf numFmtId="168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59" applyNumberFormat="1" applyFont="1" applyBorder="1" applyAlignment="1">
      <alignment horizontal="center"/>
    </xf>
    <xf numFmtId="168" fontId="0" fillId="34" borderId="0" xfId="0" applyNumberForma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34" borderId="0" xfId="0" applyNumberFormat="1" applyFill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0" fontId="14" fillId="0" borderId="0" xfId="0" applyFont="1" applyAlignment="1">
      <alignment/>
    </xf>
    <xf numFmtId="0" fontId="4" fillId="35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9" fontId="0" fillId="33" borderId="0" xfId="59" applyNumberFormat="1" applyFont="1" applyFill="1" applyBorder="1" applyAlignment="1">
      <alignment horizontal="center"/>
    </xf>
    <xf numFmtId="168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" fontId="4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 horizontal="left"/>
    </xf>
    <xf numFmtId="9" fontId="0" fillId="0" borderId="0" xfId="59" applyFont="1" applyAlignment="1">
      <alignment/>
    </xf>
    <xf numFmtId="173" fontId="0" fillId="0" borderId="13" xfId="0" applyNumberFormat="1" applyBorder="1" applyAlignment="1">
      <alignment horizontal="center"/>
    </xf>
    <xf numFmtId="0" fontId="16" fillId="0" borderId="0" xfId="0" applyFont="1" applyAlignment="1">
      <alignment/>
    </xf>
    <xf numFmtId="0" fontId="14" fillId="33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17" fontId="4" fillId="35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10" fontId="0" fillId="0" borderId="0" xfId="59" applyNumberFormat="1" applyFont="1" applyAlignment="1">
      <alignment horizontal="center"/>
    </xf>
    <xf numFmtId="3" fontId="0" fillId="0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8" fontId="0" fillId="0" borderId="0" xfId="0" applyNumberFormat="1" applyFont="1" applyFill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3" fontId="0" fillId="35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8" fontId="0" fillId="35" borderId="0" xfId="0" applyNumberFormat="1" applyFont="1" applyFill="1" applyBorder="1" applyAlignment="1">
      <alignment horizontal="center"/>
    </xf>
    <xf numFmtId="168" fontId="0" fillId="35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6"/>
  <sheetViews>
    <sheetView zoomScalePageLayoutView="0" workbookViewId="0" topLeftCell="A37">
      <selection activeCell="C52" sqref="C52"/>
    </sheetView>
  </sheetViews>
  <sheetFormatPr defaultColWidth="9.00390625" defaultRowHeight="12.75"/>
  <cols>
    <col min="1" max="1" width="6.875" style="0" customWidth="1"/>
    <col min="2" max="2" width="36.875" style="0" customWidth="1"/>
    <col min="3" max="3" width="13.75390625" style="0" customWidth="1"/>
    <col min="4" max="10" width="10.75390625" style="0" customWidth="1"/>
    <col min="11" max="11" width="11.875" style="0" customWidth="1"/>
    <col min="12" max="15" width="10.75390625" style="0" customWidth="1"/>
  </cols>
  <sheetData>
    <row r="3" ht="12.75">
      <c r="D3" s="2" t="s">
        <v>148</v>
      </c>
    </row>
    <row r="6" spans="3:15" ht="12.75">
      <c r="C6" s="39">
        <f>SUM(D6:O6)</f>
        <v>8760</v>
      </c>
      <c r="D6" s="49">
        <f>'WGJ-4'!D6</f>
        <v>744</v>
      </c>
      <c r="E6" s="49">
        <v>672</v>
      </c>
      <c r="F6" s="49">
        <v>743</v>
      </c>
      <c r="G6" s="49">
        <v>720</v>
      </c>
      <c r="H6" s="49">
        <f>'WGJ-4'!H6</f>
        <v>744</v>
      </c>
      <c r="I6" s="49">
        <f>'WGJ-4'!I6</f>
        <v>720</v>
      </c>
      <c r="J6" s="49">
        <f>'WGJ-4'!J6</f>
        <v>744</v>
      </c>
      <c r="K6" s="49">
        <f>'WGJ-4'!K6</f>
        <v>744</v>
      </c>
      <c r="L6" s="49">
        <f>'WGJ-4'!L6</f>
        <v>720</v>
      </c>
      <c r="M6" s="49">
        <v>744</v>
      </c>
      <c r="N6" s="49">
        <v>721</v>
      </c>
      <c r="O6" s="49">
        <f>'WGJ-4'!O6</f>
        <v>744</v>
      </c>
    </row>
    <row r="7" spans="3:15" ht="12.75">
      <c r="C7" s="90" t="s">
        <v>37</v>
      </c>
      <c r="D7" s="50">
        <v>39086</v>
      </c>
      <c r="E7" s="50">
        <v>39117</v>
      </c>
      <c r="F7" s="50">
        <v>39145</v>
      </c>
      <c r="G7" s="50">
        <v>39176</v>
      </c>
      <c r="H7" s="50">
        <v>39206</v>
      </c>
      <c r="I7" s="50">
        <v>39237</v>
      </c>
      <c r="J7" s="50">
        <v>39267</v>
      </c>
      <c r="K7" s="50">
        <v>39298</v>
      </c>
      <c r="L7" s="50">
        <v>39329</v>
      </c>
      <c r="M7" s="50">
        <v>39359</v>
      </c>
      <c r="N7" s="50">
        <v>39390</v>
      </c>
      <c r="O7" s="50">
        <v>39420</v>
      </c>
    </row>
    <row r="8" spans="3:15" ht="12.75">
      <c r="C8" s="12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2.75">
      <c r="A9" s="2" t="s">
        <v>152</v>
      </c>
      <c r="C9" s="136">
        <f>AVERAGE(D9:O9)</f>
        <v>49.729453068574266</v>
      </c>
      <c r="D9" s="101">
        <v>56.587085266113284</v>
      </c>
      <c r="E9" s="101">
        <v>56.21592628479004</v>
      </c>
      <c r="F9" s="101">
        <v>51.18000286102295</v>
      </c>
      <c r="G9" s="101">
        <v>40.793612251281736</v>
      </c>
      <c r="H9" s="101">
        <v>32.65673053741455</v>
      </c>
      <c r="I9" s="101">
        <v>32.411358728408814</v>
      </c>
      <c r="J9" s="101">
        <v>46.999643058776854</v>
      </c>
      <c r="K9" s="101">
        <v>56.380020751953126</v>
      </c>
      <c r="L9" s="101">
        <v>54.49872169494629</v>
      </c>
      <c r="M9" s="101">
        <v>50.36058029174805</v>
      </c>
      <c r="N9" s="101">
        <v>56.5234529876709</v>
      </c>
      <c r="O9" s="101">
        <v>62.14630210876465</v>
      </c>
    </row>
    <row r="10" spans="3:15" ht="12.75">
      <c r="C10" s="1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3" ht="12.75">
      <c r="A11" s="2" t="s">
        <v>46</v>
      </c>
      <c r="C11" s="12"/>
    </row>
    <row r="12" spans="2:3" ht="12.75">
      <c r="B12" t="s">
        <v>45</v>
      </c>
      <c r="C12" s="12"/>
    </row>
    <row r="13" spans="2:15" ht="12.75">
      <c r="B13" t="s">
        <v>103</v>
      </c>
      <c r="C13" s="134">
        <f>SUM(D13:O13)</f>
        <v>67890</v>
      </c>
      <c r="D13" s="3">
        <v>5766</v>
      </c>
      <c r="E13" s="3">
        <v>5208</v>
      </c>
      <c r="F13" s="3">
        <v>5766</v>
      </c>
      <c r="G13" s="3">
        <v>5580</v>
      </c>
      <c r="H13" s="3">
        <v>5766</v>
      </c>
      <c r="I13" s="3">
        <v>5580</v>
      </c>
      <c r="J13" s="3">
        <v>5766</v>
      </c>
      <c r="K13" s="3">
        <v>5766</v>
      </c>
      <c r="L13" s="3">
        <v>5580</v>
      </c>
      <c r="M13" s="3">
        <v>5766</v>
      </c>
      <c r="N13" s="3">
        <v>5580</v>
      </c>
      <c r="O13" s="3">
        <v>5766</v>
      </c>
    </row>
    <row r="14" spans="2:15" ht="12.75">
      <c r="B14" t="s">
        <v>115</v>
      </c>
      <c r="C14" s="105">
        <f>SUM(D14:O14)</f>
        <v>3236071.0807606895</v>
      </c>
      <c r="D14" s="27">
        <f>(D9-2.05)*D13</f>
        <v>314460.8336444092</v>
      </c>
      <c r="E14" s="27">
        <f aca="true" t="shared" si="0" ref="E14:O14">(E9-2.05)*E13</f>
        <v>282096.1440911865</v>
      </c>
      <c r="F14" s="27">
        <f t="shared" si="0"/>
        <v>283283.59649665834</v>
      </c>
      <c r="G14" s="27">
        <f t="shared" si="0"/>
        <v>216189.35636215212</v>
      </c>
      <c r="H14" s="27">
        <f t="shared" si="0"/>
        <v>176478.4082787323</v>
      </c>
      <c r="I14" s="27">
        <f t="shared" si="0"/>
        <v>169416.3817045212</v>
      </c>
      <c r="J14" s="27">
        <f t="shared" si="0"/>
        <v>259179.64187690735</v>
      </c>
      <c r="K14" s="27">
        <f t="shared" si="0"/>
        <v>313266.8996557617</v>
      </c>
      <c r="L14" s="27">
        <f t="shared" si="0"/>
        <v>292663.8670578003</v>
      </c>
      <c r="M14" s="27">
        <f t="shared" si="0"/>
        <v>278558.80596221925</v>
      </c>
      <c r="N14" s="27">
        <f t="shared" si="0"/>
        <v>303961.8676712036</v>
      </c>
      <c r="O14" s="27">
        <f t="shared" si="0"/>
        <v>346515.277959137</v>
      </c>
    </row>
    <row r="15" ht="12.75">
      <c r="C15" s="12"/>
    </row>
    <row r="17" ht="12.75">
      <c r="A17" s="2" t="s">
        <v>130</v>
      </c>
    </row>
    <row r="18" spans="2:13" ht="12.75">
      <c r="B18" t="s">
        <v>195</v>
      </c>
      <c r="M18" s="130">
        <v>3504</v>
      </c>
    </row>
    <row r="19" spans="2:13" ht="12.75">
      <c r="B19" t="s">
        <v>153</v>
      </c>
      <c r="C19" s="109">
        <f>SUM(D19:O19)</f>
        <v>148431.47334228517</v>
      </c>
      <c r="K19" s="31"/>
      <c r="L19" s="31"/>
      <c r="M19" s="27">
        <f>(M9-8)*M18</f>
        <v>148431.47334228517</v>
      </c>
    </row>
    <row r="20" spans="3:13" ht="12.75">
      <c r="C20" s="113"/>
      <c r="K20" s="31"/>
      <c r="L20" s="31"/>
      <c r="M20" s="27"/>
    </row>
    <row r="21" spans="1:13" ht="12.75">
      <c r="A21" s="2" t="s">
        <v>189</v>
      </c>
      <c r="C21" s="113"/>
      <c r="K21" s="31"/>
      <c r="L21" s="31"/>
      <c r="M21" s="27"/>
    </row>
    <row r="22" spans="3:15" ht="12.75">
      <c r="C22" s="135" t="s">
        <v>37</v>
      </c>
      <c r="D22" s="117">
        <v>39082</v>
      </c>
      <c r="E22" s="117">
        <v>39113</v>
      </c>
      <c r="F22" s="117">
        <v>39141</v>
      </c>
      <c r="G22" s="117">
        <v>39172</v>
      </c>
      <c r="H22" s="117">
        <v>39202</v>
      </c>
      <c r="I22" s="117">
        <v>39233</v>
      </c>
      <c r="J22" s="117">
        <v>39263</v>
      </c>
      <c r="K22" s="117">
        <v>39294</v>
      </c>
      <c r="L22" s="117">
        <v>39325</v>
      </c>
      <c r="M22" s="117">
        <v>39355</v>
      </c>
      <c r="N22" s="117">
        <v>39386</v>
      </c>
      <c r="O22" s="117">
        <v>39416</v>
      </c>
    </row>
    <row r="23" spans="1:13" ht="12.75">
      <c r="A23" s="2"/>
      <c r="C23" s="113"/>
      <c r="K23" s="31"/>
      <c r="L23" s="31"/>
      <c r="M23" s="27"/>
    </row>
    <row r="24" spans="2:15" ht="12.75">
      <c r="B24" t="s">
        <v>190</v>
      </c>
      <c r="C24" s="113"/>
      <c r="D24" s="101">
        <f>D9</f>
        <v>56.587085266113284</v>
      </c>
      <c r="E24" s="101">
        <f aca="true" t="shared" si="1" ref="E24:O24">E9</f>
        <v>56.21592628479004</v>
      </c>
      <c r="F24" s="101">
        <f t="shared" si="1"/>
        <v>51.18000286102295</v>
      </c>
      <c r="G24" s="101">
        <f t="shared" si="1"/>
        <v>40.793612251281736</v>
      </c>
      <c r="H24" s="101">
        <f t="shared" si="1"/>
        <v>32.65673053741455</v>
      </c>
      <c r="I24" s="101">
        <f t="shared" si="1"/>
        <v>32.411358728408814</v>
      </c>
      <c r="J24" s="101">
        <f t="shared" si="1"/>
        <v>46.999643058776854</v>
      </c>
      <c r="K24" s="101">
        <f t="shared" si="1"/>
        <v>56.380020751953126</v>
      </c>
      <c r="L24" s="101">
        <f t="shared" si="1"/>
        <v>54.49872169494629</v>
      </c>
      <c r="M24" s="101">
        <f t="shared" si="1"/>
        <v>50.36058029174805</v>
      </c>
      <c r="N24" s="101">
        <f t="shared" si="1"/>
        <v>56.5234529876709</v>
      </c>
      <c r="O24" s="101">
        <f t="shared" si="1"/>
        <v>62.14630210876465</v>
      </c>
    </row>
    <row r="25" spans="3:13" ht="12.75">
      <c r="C25" s="11"/>
      <c r="K25" s="31"/>
      <c r="L25" s="31"/>
      <c r="M25" s="27"/>
    </row>
    <row r="26" spans="2:15" ht="12.75">
      <c r="B26" t="s">
        <v>213</v>
      </c>
      <c r="C26" s="134">
        <f>SUM(D26:O26)</f>
        <v>153727.93927246094</v>
      </c>
      <c r="D26" s="3">
        <v>19412.425527343752</v>
      </c>
      <c r="E26" s="3">
        <v>14530.291640625</v>
      </c>
      <c r="F26" s="3">
        <v>12157.248339843749</v>
      </c>
      <c r="G26" s="3">
        <v>10781.294912109375</v>
      </c>
      <c r="H26" s="3">
        <v>8094.479711914062</v>
      </c>
      <c r="I26" s="3">
        <v>11396.349316406251</v>
      </c>
      <c r="J26" s="3">
        <v>12982.15330078125</v>
      </c>
      <c r="K26" s="3">
        <v>12535.0001171875</v>
      </c>
      <c r="L26" s="3">
        <v>10794.397753906249</v>
      </c>
      <c r="M26" s="3">
        <v>12519.2824609375</v>
      </c>
      <c r="N26" s="3">
        <v>12985.300898437501</v>
      </c>
      <c r="O26" s="3">
        <v>15539.71529296875</v>
      </c>
    </row>
    <row r="27" spans="2:15" ht="12.75">
      <c r="B27" t="s">
        <v>214</v>
      </c>
      <c r="C27" s="134">
        <f>SUM(D27:O27)</f>
        <v>165572.33705078127</v>
      </c>
      <c r="D27" s="3">
        <v>17401.73</v>
      </c>
      <c r="E27" s="3">
        <v>13363.78580078125</v>
      </c>
      <c r="F27" s="3">
        <v>11926.688554687498</v>
      </c>
      <c r="G27" s="3">
        <v>14095.38671875</v>
      </c>
      <c r="H27" s="3">
        <v>16983.654736328124</v>
      </c>
      <c r="I27" s="3">
        <v>18360.9994921875</v>
      </c>
      <c r="J27" s="3">
        <v>16857.94162109375</v>
      </c>
      <c r="K27" s="3">
        <v>9986.536064453125</v>
      </c>
      <c r="L27" s="3">
        <v>9430.498974609374</v>
      </c>
      <c r="M27" s="3">
        <v>11163.555468749999</v>
      </c>
      <c r="N27" s="3">
        <v>11735.289970703127</v>
      </c>
      <c r="O27" s="3">
        <v>14266.2696484375</v>
      </c>
    </row>
    <row r="28" spans="2:15" ht="12.75">
      <c r="B28" t="s">
        <v>160</v>
      </c>
      <c r="C28" s="104"/>
      <c r="D28" s="104">
        <v>0.033</v>
      </c>
      <c r="E28" s="104">
        <v>0.033</v>
      </c>
      <c r="F28" s="104">
        <v>0.033</v>
      </c>
      <c r="G28" s="104">
        <v>0.033</v>
      </c>
      <c r="H28" s="104">
        <v>0.033</v>
      </c>
      <c r="I28" s="104">
        <v>0.033</v>
      </c>
      <c r="J28" s="104">
        <v>0.033</v>
      </c>
      <c r="K28" s="104">
        <v>0.033</v>
      </c>
      <c r="L28" s="104">
        <v>0.033</v>
      </c>
      <c r="M28" s="104">
        <v>0.033</v>
      </c>
      <c r="N28" s="104">
        <v>0.033</v>
      </c>
      <c r="O28" s="104">
        <v>0.033</v>
      </c>
    </row>
    <row r="29" spans="2:15" ht="12.75">
      <c r="B29" t="s">
        <v>212</v>
      </c>
      <c r="D29" s="128">
        <v>0.0025</v>
      </c>
      <c r="E29" s="128">
        <v>0.0025</v>
      </c>
      <c r="F29" s="128">
        <v>0.0025</v>
      </c>
      <c r="G29" s="128">
        <v>0.0025</v>
      </c>
      <c r="H29" s="128">
        <v>0.0025</v>
      </c>
      <c r="I29" s="128">
        <v>0.0025</v>
      </c>
      <c r="J29" s="128">
        <v>0.0025</v>
      </c>
      <c r="K29" s="128">
        <v>0.0025</v>
      </c>
      <c r="L29" s="128">
        <v>0.0025</v>
      </c>
      <c r="M29" s="128">
        <v>0.0025</v>
      </c>
      <c r="N29" s="128">
        <v>0.0025</v>
      </c>
      <c r="O29" s="128">
        <v>0.0025</v>
      </c>
    </row>
    <row r="30" spans="2:15" ht="12.75">
      <c r="B30" t="s">
        <v>161</v>
      </c>
      <c r="C30" s="104"/>
      <c r="D30" s="104">
        <v>0.0042</v>
      </c>
      <c r="E30" s="104">
        <v>0.0042</v>
      </c>
      <c r="F30" s="104">
        <v>0.0042</v>
      </c>
      <c r="G30" s="104">
        <v>0.0042</v>
      </c>
      <c r="H30" s="104">
        <v>0.0042</v>
      </c>
      <c r="I30" s="104">
        <v>0.0042</v>
      </c>
      <c r="J30" s="104">
        <v>0.0042</v>
      </c>
      <c r="K30" s="104">
        <v>0.0042</v>
      </c>
      <c r="L30" s="104">
        <v>0.0042</v>
      </c>
      <c r="M30" s="104">
        <v>0.0042</v>
      </c>
      <c r="N30" s="104">
        <v>0.0042</v>
      </c>
      <c r="O30" s="104">
        <v>0.0042</v>
      </c>
    </row>
    <row r="31" spans="2:15" ht="12.75">
      <c r="B31" t="s">
        <v>164</v>
      </c>
      <c r="C31" s="104"/>
      <c r="D31" s="104">
        <f aca="true" t="shared" si="2" ref="D31:O31">SUM(D28:D30)</f>
        <v>0.039700000000000006</v>
      </c>
      <c r="E31" s="104">
        <f t="shared" si="2"/>
        <v>0.039700000000000006</v>
      </c>
      <c r="F31" s="104">
        <f t="shared" si="2"/>
        <v>0.039700000000000006</v>
      </c>
      <c r="G31" s="104">
        <f t="shared" si="2"/>
        <v>0.039700000000000006</v>
      </c>
      <c r="H31" s="104">
        <f t="shared" si="2"/>
        <v>0.039700000000000006</v>
      </c>
      <c r="I31" s="104">
        <f t="shared" si="2"/>
        <v>0.039700000000000006</v>
      </c>
      <c r="J31" s="104">
        <f t="shared" si="2"/>
        <v>0.039700000000000006</v>
      </c>
      <c r="K31" s="104">
        <f t="shared" si="2"/>
        <v>0.039700000000000006</v>
      </c>
      <c r="L31" s="104">
        <f t="shared" si="2"/>
        <v>0.039700000000000006</v>
      </c>
      <c r="M31" s="104">
        <f t="shared" si="2"/>
        <v>0.039700000000000006</v>
      </c>
      <c r="N31" s="104">
        <f t="shared" si="2"/>
        <v>0.039700000000000006</v>
      </c>
      <c r="O31" s="104">
        <f t="shared" si="2"/>
        <v>0.039700000000000006</v>
      </c>
    </row>
    <row r="32" spans="2:15" ht="12.75">
      <c r="B32" t="s">
        <v>179</v>
      </c>
      <c r="C32" s="104"/>
      <c r="D32" s="114">
        <v>0</v>
      </c>
      <c r="E32" s="114">
        <f>D32</f>
        <v>0</v>
      </c>
      <c r="F32" s="114">
        <f aca="true" t="shared" si="3" ref="F32:O32">E32</f>
        <v>0</v>
      </c>
      <c r="G32" s="114">
        <f t="shared" si="3"/>
        <v>0</v>
      </c>
      <c r="H32" s="114">
        <f t="shared" si="3"/>
        <v>0</v>
      </c>
      <c r="I32" s="114">
        <f t="shared" si="3"/>
        <v>0</v>
      </c>
      <c r="J32" s="114">
        <f t="shared" si="3"/>
        <v>0</v>
      </c>
      <c r="K32" s="114">
        <f t="shared" si="3"/>
        <v>0</v>
      </c>
      <c r="L32" s="114">
        <f t="shared" si="3"/>
        <v>0</v>
      </c>
      <c r="M32" s="114">
        <f t="shared" si="3"/>
        <v>0</v>
      </c>
      <c r="N32" s="114">
        <f t="shared" si="3"/>
        <v>0</v>
      </c>
      <c r="O32" s="114">
        <f t="shared" si="3"/>
        <v>0</v>
      </c>
    </row>
    <row r="33" ht="12.75">
      <c r="C33" s="103"/>
    </row>
    <row r="34" spans="2:15" ht="12.75">
      <c r="B34" t="s">
        <v>154</v>
      </c>
      <c r="C34" s="103">
        <f>SUM(D34:O34)</f>
        <v>265413.32792612066</v>
      </c>
      <c r="D34" s="3">
        <f>(D26+D27)*(D28/D31)</f>
        <v>30601.18721416483</v>
      </c>
      <c r="E34" s="3">
        <f aca="true" t="shared" si="4" ref="E34:O34">(E26+E27)*(E28/E31)</f>
        <v>23186.51273467018</v>
      </c>
      <c r="F34" s="3">
        <f t="shared" si="4"/>
        <v>20019.393388401284</v>
      </c>
      <c r="G34" s="3">
        <f t="shared" si="4"/>
        <v>20678.34997023575</v>
      </c>
      <c r="H34" s="3">
        <f t="shared" si="4"/>
        <v>20845.80445319879</v>
      </c>
      <c r="I34" s="3">
        <f t="shared" si="4"/>
        <v>24735.32772502755</v>
      </c>
      <c r="J34" s="3">
        <f t="shared" si="4"/>
        <v>24804.10912901448</v>
      </c>
      <c r="K34" s="3">
        <f t="shared" si="4"/>
        <v>18720.672392799508</v>
      </c>
      <c r="L34" s="3">
        <f t="shared" si="4"/>
        <v>16811.62700355203</v>
      </c>
      <c r="M34" s="3">
        <f t="shared" si="4"/>
        <v>19685.986188405226</v>
      </c>
      <c r="N34" s="3">
        <f t="shared" si="4"/>
        <v>20548.601981905307</v>
      </c>
      <c r="O34" s="3">
        <f t="shared" si="4"/>
        <v>24775.755744745748</v>
      </c>
    </row>
    <row r="35" spans="2:15" ht="12.75">
      <c r="B35" t="s">
        <v>155</v>
      </c>
      <c r="C35" s="102">
        <f>SUM(D35:O35)</f>
        <v>13215747.46381955</v>
      </c>
      <c r="D35" s="27">
        <f aca="true" t="shared" si="5" ref="D35:O35">D9*D34</f>
        <v>1731631.990132241</v>
      </c>
      <c r="E35" s="27">
        <f t="shared" si="5"/>
        <v>1303451.2906935643</v>
      </c>
      <c r="F35" s="27">
        <f t="shared" si="5"/>
        <v>1024592.6108943216</v>
      </c>
      <c r="G35" s="27">
        <f t="shared" si="5"/>
        <v>843544.5906821005</v>
      </c>
      <c r="H35" s="27">
        <f t="shared" si="5"/>
        <v>680755.8188637493</v>
      </c>
      <c r="I35" s="27">
        <f t="shared" si="5"/>
        <v>801705.5801606242</v>
      </c>
      <c r="J35" s="27">
        <f t="shared" si="5"/>
        <v>1165784.275454629</v>
      </c>
      <c r="K35" s="27">
        <f t="shared" si="5"/>
        <v>1055471.8979965523</v>
      </c>
      <c r="L35" s="27">
        <f t="shared" si="5"/>
        <v>916212.1813058258</v>
      </c>
      <c r="M35" s="27">
        <f t="shared" si="5"/>
        <v>991397.6880634245</v>
      </c>
      <c r="N35" s="27">
        <f t="shared" si="5"/>
        <v>1161477.9380865856</v>
      </c>
      <c r="O35" s="27">
        <f t="shared" si="5"/>
        <v>1539721.6014859306</v>
      </c>
    </row>
    <row r="36" ht="12.75">
      <c r="D36" s="27"/>
    </row>
    <row r="37" spans="2:15" ht="12.75">
      <c r="B37" t="s">
        <v>156</v>
      </c>
      <c r="C37" s="102">
        <f>SUM(D37:O37)</f>
        <v>8167723.929737884</v>
      </c>
      <c r="D37" s="27">
        <f aca="true" t="shared" si="6" ref="D37:O37">(D34*(1-D32))*(D9-D48)</f>
        <v>1149613.3159572117</v>
      </c>
      <c r="E37" s="27">
        <f t="shared" si="6"/>
        <v>862455.8709364986</v>
      </c>
      <c r="F37" s="27">
        <f t="shared" si="6"/>
        <v>643834.154820033</v>
      </c>
      <c r="G37" s="27">
        <f t="shared" si="6"/>
        <v>450253.12294999365</v>
      </c>
      <c r="H37" s="27">
        <f t="shared" si="6"/>
        <v>284279.4539092987</v>
      </c>
      <c r="I37" s="27">
        <f t="shared" si="6"/>
        <v>331252.5043681435</v>
      </c>
      <c r="J37" s="27">
        <f t="shared" si="6"/>
        <v>694023.0131112082</v>
      </c>
      <c r="K37" s="27">
        <f t="shared" si="6"/>
        <v>699414.4401774403</v>
      </c>
      <c r="L37" s="27">
        <f t="shared" si="6"/>
        <v>596463.7744595944</v>
      </c>
      <c r="M37" s="27">
        <f t="shared" si="6"/>
        <v>616980.4636264592</v>
      </c>
      <c r="N37" s="27">
        <f t="shared" si="6"/>
        <v>770654.2096489206</v>
      </c>
      <c r="O37" s="27">
        <f t="shared" si="6"/>
        <v>1068499.605773081</v>
      </c>
    </row>
    <row r="39" spans="2:15" ht="12.75">
      <c r="B39" t="s">
        <v>157</v>
      </c>
      <c r="C39" s="137">
        <f>SUM(D39:O39)</f>
        <v>5048023.534081666</v>
      </c>
      <c r="D39" s="27">
        <f>D35-D37</f>
        <v>582018.6741750294</v>
      </c>
      <c r="E39" s="27">
        <f aca="true" t="shared" si="7" ref="E39:O39">E35-E37</f>
        <v>440995.4197570657</v>
      </c>
      <c r="F39" s="27">
        <f t="shared" si="7"/>
        <v>380758.4560742886</v>
      </c>
      <c r="G39" s="27">
        <f t="shared" si="7"/>
        <v>393291.46773210686</v>
      </c>
      <c r="H39" s="27">
        <f t="shared" si="7"/>
        <v>396476.3649544506</v>
      </c>
      <c r="I39" s="27">
        <f t="shared" si="7"/>
        <v>470453.0757924807</v>
      </c>
      <c r="J39" s="27">
        <f t="shared" si="7"/>
        <v>471761.26234342076</v>
      </c>
      <c r="K39" s="27">
        <f t="shared" si="7"/>
        <v>356057.457819112</v>
      </c>
      <c r="L39" s="27">
        <f t="shared" si="7"/>
        <v>319748.40684623143</v>
      </c>
      <c r="M39" s="27">
        <f t="shared" si="7"/>
        <v>374417.2244369653</v>
      </c>
      <c r="N39" s="27">
        <f t="shared" si="7"/>
        <v>390823.72843766504</v>
      </c>
      <c r="O39" s="27">
        <f t="shared" si="7"/>
        <v>471221.99571284954</v>
      </c>
    </row>
    <row r="40" spans="2:15" ht="12.75">
      <c r="B40" t="s">
        <v>158</v>
      </c>
      <c r="C40" s="118">
        <f aca="true" t="shared" si="8" ref="C40:O40">C39/C34</f>
        <v>19.01948019538345</v>
      </c>
      <c r="D40" s="31">
        <f t="shared" si="8"/>
        <v>19.019480195383455</v>
      </c>
      <c r="E40" s="31">
        <f t="shared" si="8"/>
        <v>19.01948019538345</v>
      </c>
      <c r="F40" s="31">
        <f t="shared" si="8"/>
        <v>19.019480195383448</v>
      </c>
      <c r="G40" s="31">
        <f t="shared" si="8"/>
        <v>19.01948019538345</v>
      </c>
      <c r="H40" s="31">
        <f t="shared" si="8"/>
        <v>19.01948019538345</v>
      </c>
      <c r="I40" s="31">
        <f t="shared" si="8"/>
        <v>19.019480195383455</v>
      </c>
      <c r="J40" s="31">
        <f t="shared" si="8"/>
        <v>19.01948019538345</v>
      </c>
      <c r="K40" s="31">
        <f t="shared" si="8"/>
        <v>19.01948019538345</v>
      </c>
      <c r="L40" s="31">
        <f t="shared" si="8"/>
        <v>19.01948019538345</v>
      </c>
      <c r="M40" s="31">
        <f t="shared" si="8"/>
        <v>19.019480195383448</v>
      </c>
      <c r="N40" s="31">
        <f t="shared" si="8"/>
        <v>19.019480195383448</v>
      </c>
      <c r="O40" s="31">
        <f t="shared" si="8"/>
        <v>19.01948019538345</v>
      </c>
    </row>
    <row r="42" spans="2:15" ht="12.75">
      <c r="B42" t="s">
        <v>217</v>
      </c>
      <c r="C42" s="103">
        <f>SUM(D42:O42)</f>
        <v>20107.070297433384</v>
      </c>
      <c r="D42" s="3">
        <f>(D26+D27)*(D29/D31)</f>
        <v>2318.2717586488507</v>
      </c>
      <c r="E42" s="3">
        <f aca="true" t="shared" si="9" ref="E42:O42">(E26+E27)*(E29/E31)</f>
        <v>1756.5539950507712</v>
      </c>
      <c r="F42" s="3">
        <f t="shared" si="9"/>
        <v>1516.6207112425213</v>
      </c>
      <c r="G42" s="3">
        <f t="shared" si="9"/>
        <v>1566.5416644117993</v>
      </c>
      <c r="H42" s="3">
        <f t="shared" si="9"/>
        <v>1579.2276100908173</v>
      </c>
      <c r="I42" s="3">
        <f t="shared" si="9"/>
        <v>1873.8884640172382</v>
      </c>
      <c r="J42" s="3">
        <f t="shared" si="9"/>
        <v>1879.0991764404907</v>
      </c>
      <c r="K42" s="3">
        <f t="shared" si="9"/>
        <v>1418.2327570302655</v>
      </c>
      <c r="L42" s="3">
        <f t="shared" si="9"/>
        <v>1273.608106329699</v>
      </c>
      <c r="M42" s="3">
        <f t="shared" si="9"/>
        <v>1491.3625900306986</v>
      </c>
      <c r="N42" s="3">
        <f t="shared" si="9"/>
        <v>1556.7122713564625</v>
      </c>
      <c r="O42" s="3">
        <f t="shared" si="9"/>
        <v>1876.9511927837684</v>
      </c>
    </row>
    <row r="43" spans="2:15" ht="12.75">
      <c r="B43" t="s">
        <v>180</v>
      </c>
      <c r="D43" s="116">
        <f>$C66</f>
        <v>19.01948019538345</v>
      </c>
      <c r="E43" s="116">
        <f aca="true" t="shared" si="10" ref="E43:O43">$C66</f>
        <v>19.01948019538345</v>
      </c>
      <c r="F43" s="116">
        <f t="shared" si="10"/>
        <v>19.01948019538345</v>
      </c>
      <c r="G43" s="116">
        <f t="shared" si="10"/>
        <v>19.01948019538345</v>
      </c>
      <c r="H43" s="116">
        <f t="shared" si="10"/>
        <v>19.01948019538345</v>
      </c>
      <c r="I43" s="116">
        <f t="shared" si="10"/>
        <v>19.01948019538345</v>
      </c>
      <c r="J43" s="116">
        <f t="shared" si="10"/>
        <v>19.01948019538345</v>
      </c>
      <c r="K43" s="116">
        <f t="shared" si="10"/>
        <v>19.01948019538345</v>
      </c>
      <c r="L43" s="116">
        <f t="shared" si="10"/>
        <v>19.01948019538345</v>
      </c>
      <c r="M43" s="116">
        <f t="shared" si="10"/>
        <v>19.01948019538345</v>
      </c>
      <c r="N43" s="116">
        <f t="shared" si="10"/>
        <v>19.01948019538345</v>
      </c>
      <c r="O43" s="116">
        <f t="shared" si="10"/>
        <v>19.01948019538345</v>
      </c>
    </row>
    <row r="44" spans="2:15" ht="12.75">
      <c r="B44" t="s">
        <v>218</v>
      </c>
      <c r="C44" s="138">
        <f>SUM(D44:O44)</f>
        <v>382426.025309217</v>
      </c>
      <c r="D44" s="27">
        <f>D42*D43</f>
        <v>44092.32380113858</v>
      </c>
      <c r="E44" s="27">
        <f aca="true" t="shared" si="11" ref="E44:O44">E42*E43</f>
        <v>33408.74392098982</v>
      </c>
      <c r="F44" s="27">
        <f t="shared" si="11"/>
        <v>28845.3375813855</v>
      </c>
      <c r="G44" s="27">
        <f t="shared" si="11"/>
        <v>29794.808161523244</v>
      </c>
      <c r="H44" s="27">
        <f t="shared" si="11"/>
        <v>30036.08825412504</v>
      </c>
      <c r="I44" s="27">
        <f t="shared" si="11"/>
        <v>35640.384529733376</v>
      </c>
      <c r="J44" s="27">
        <f t="shared" si="11"/>
        <v>35739.48957147127</v>
      </c>
      <c r="K44" s="27">
        <f t="shared" si="11"/>
        <v>26974.049834781206</v>
      </c>
      <c r="L44" s="27">
        <f t="shared" si="11"/>
        <v>24223.36415501753</v>
      </c>
      <c r="M44" s="27">
        <f t="shared" si="11"/>
        <v>28364.94124522464</v>
      </c>
      <c r="N44" s="27">
        <f t="shared" si="11"/>
        <v>29607.858214974625</v>
      </c>
      <c r="O44" s="27">
        <f t="shared" si="11"/>
        <v>35698.63603885223</v>
      </c>
    </row>
    <row r="45" spans="2:4" ht="12.75">
      <c r="B45" t="s">
        <v>219</v>
      </c>
      <c r="C45" s="118">
        <f>C44/C42</f>
        <v>19.019480195383448</v>
      </c>
      <c r="D45" s="27"/>
    </row>
    <row r="46" spans="3:4" ht="12.75">
      <c r="C46" s="118"/>
      <c r="D46" s="27"/>
    </row>
    <row r="47" spans="2:15" ht="12.75">
      <c r="B47" t="s">
        <v>163</v>
      </c>
      <c r="C47" s="103">
        <f>SUM(D47:O47)</f>
        <v>33779.87809968808</v>
      </c>
      <c r="D47" s="3">
        <f>(D26+D27)*(D30/D31)</f>
        <v>3894.696554530069</v>
      </c>
      <c r="E47" s="3">
        <f aca="true" t="shared" si="12" ref="E47:O47">(E26+E27)*(E30/E31)</f>
        <v>2951.0107116852955</v>
      </c>
      <c r="F47" s="3">
        <f t="shared" si="12"/>
        <v>2547.922794887436</v>
      </c>
      <c r="G47" s="3">
        <f t="shared" si="12"/>
        <v>2631.7899962118227</v>
      </c>
      <c r="H47" s="3">
        <f t="shared" si="12"/>
        <v>2653.102384952573</v>
      </c>
      <c r="I47" s="3">
        <f t="shared" si="12"/>
        <v>3148.1326195489605</v>
      </c>
      <c r="J47" s="3">
        <f t="shared" si="12"/>
        <v>3156.8866164200244</v>
      </c>
      <c r="K47" s="3">
        <f t="shared" si="12"/>
        <v>2382.6310318108463</v>
      </c>
      <c r="L47" s="3">
        <f t="shared" si="12"/>
        <v>2139.6616186338942</v>
      </c>
      <c r="M47" s="3">
        <f t="shared" si="12"/>
        <v>2505.4891512515737</v>
      </c>
      <c r="N47" s="3">
        <f t="shared" si="12"/>
        <v>2615.2766158788572</v>
      </c>
      <c r="O47" s="3">
        <f t="shared" si="12"/>
        <v>3153.278003876731</v>
      </c>
    </row>
    <row r="48" spans="2:15" ht="12.75">
      <c r="B48" t="s">
        <v>180</v>
      </c>
      <c r="D48" s="116">
        <f>$C66</f>
        <v>19.01948019538345</v>
      </c>
      <c r="E48" s="116">
        <f aca="true" t="shared" si="13" ref="E48:O48">$C66</f>
        <v>19.01948019538345</v>
      </c>
      <c r="F48" s="116">
        <f t="shared" si="13"/>
        <v>19.01948019538345</v>
      </c>
      <c r="G48" s="116">
        <f t="shared" si="13"/>
        <v>19.01948019538345</v>
      </c>
      <c r="H48" s="116">
        <f t="shared" si="13"/>
        <v>19.01948019538345</v>
      </c>
      <c r="I48" s="116">
        <f t="shared" si="13"/>
        <v>19.01948019538345</v>
      </c>
      <c r="J48" s="116">
        <f t="shared" si="13"/>
        <v>19.01948019538345</v>
      </c>
      <c r="K48" s="116">
        <f t="shared" si="13"/>
        <v>19.01948019538345</v>
      </c>
      <c r="L48" s="116">
        <f t="shared" si="13"/>
        <v>19.01948019538345</v>
      </c>
      <c r="M48" s="116">
        <f t="shared" si="13"/>
        <v>19.01948019538345</v>
      </c>
      <c r="N48" s="116">
        <f t="shared" si="13"/>
        <v>19.01948019538345</v>
      </c>
      <c r="O48" s="116">
        <f t="shared" si="13"/>
        <v>19.01948019538345</v>
      </c>
    </row>
    <row r="49" spans="2:15" ht="12.75">
      <c r="B49" t="s">
        <v>162</v>
      </c>
      <c r="C49" s="138">
        <f>SUM(D49:O49)</f>
        <v>642475.7225194848</v>
      </c>
      <c r="D49" s="27">
        <f>D47*D48</f>
        <v>74075.1039859128</v>
      </c>
      <c r="E49" s="27">
        <f aca="true" t="shared" si="14" ref="E49:O49">E47*E48</f>
        <v>56126.689787262905</v>
      </c>
      <c r="F49" s="27">
        <f t="shared" si="14"/>
        <v>48460.167136727636</v>
      </c>
      <c r="G49" s="27">
        <f t="shared" si="14"/>
        <v>50055.27771135905</v>
      </c>
      <c r="H49" s="27">
        <f t="shared" si="14"/>
        <v>50460.62826693007</v>
      </c>
      <c r="I49" s="27">
        <f t="shared" si="14"/>
        <v>59875.84600995208</v>
      </c>
      <c r="J49" s="27">
        <f t="shared" si="14"/>
        <v>60042.342480071726</v>
      </c>
      <c r="K49" s="27">
        <f t="shared" si="14"/>
        <v>45316.40372243243</v>
      </c>
      <c r="L49" s="27">
        <f t="shared" si="14"/>
        <v>40695.25178042945</v>
      </c>
      <c r="M49" s="27">
        <f t="shared" si="14"/>
        <v>47653.1012919774</v>
      </c>
      <c r="N49" s="27">
        <f t="shared" si="14"/>
        <v>49741.20180115738</v>
      </c>
      <c r="O49" s="27">
        <f t="shared" si="14"/>
        <v>59973.708545271744</v>
      </c>
    </row>
    <row r="50" spans="2:15" ht="12.75">
      <c r="B50" t="s">
        <v>191</v>
      </c>
      <c r="C50" s="118">
        <f>C49/C47</f>
        <v>19.019480195383455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4:15" ht="12.75"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ht="12.75">
      <c r="B52" t="s">
        <v>192</v>
      </c>
      <c r="C52" s="138">
        <f>SUM(D52:O52)</f>
        <v>5690499.256601151</v>
      </c>
      <c r="D52" s="27">
        <f>D39+D49</f>
        <v>656093.7781609423</v>
      </c>
      <c r="E52" s="27">
        <f aca="true" t="shared" si="15" ref="E52:O52">E39+E49</f>
        <v>497122.10954432865</v>
      </c>
      <c r="F52" s="27">
        <f t="shared" si="15"/>
        <v>429218.62321101624</v>
      </c>
      <c r="G52" s="27">
        <f t="shared" si="15"/>
        <v>443346.7454434659</v>
      </c>
      <c r="H52" s="27">
        <f t="shared" si="15"/>
        <v>446936.99322138063</v>
      </c>
      <c r="I52" s="27">
        <f t="shared" si="15"/>
        <v>530328.9218024329</v>
      </c>
      <c r="J52" s="27">
        <f t="shared" si="15"/>
        <v>531803.6048234925</v>
      </c>
      <c r="K52" s="27">
        <f t="shared" si="15"/>
        <v>401373.86154154444</v>
      </c>
      <c r="L52" s="27">
        <f t="shared" si="15"/>
        <v>360443.6586266609</v>
      </c>
      <c r="M52" s="27">
        <f t="shared" si="15"/>
        <v>422070.3257289427</v>
      </c>
      <c r="N52" s="27">
        <f t="shared" si="15"/>
        <v>440564.9302388224</v>
      </c>
      <c r="O52" s="27">
        <f t="shared" si="15"/>
        <v>531195.7042581213</v>
      </c>
    </row>
    <row r="53" spans="2:3" ht="12.75">
      <c r="B53" t="s">
        <v>193</v>
      </c>
      <c r="C53" s="118">
        <f>C52/(C26+C27)</f>
        <v>17.821779931190537</v>
      </c>
    </row>
    <row r="55" ht="12.75">
      <c r="B55" s="2" t="s">
        <v>215</v>
      </c>
    </row>
    <row r="56" spans="2:15" ht="12.75">
      <c r="B56" t="s">
        <v>182</v>
      </c>
      <c r="D56" s="59">
        <v>581.7073170731708</v>
      </c>
      <c r="E56" s="59">
        <v>491.46341463414626</v>
      </c>
      <c r="F56" s="59">
        <v>420.73170731707313</v>
      </c>
      <c r="G56" s="59">
        <v>491.46341463414626</v>
      </c>
      <c r="H56" s="59">
        <v>578.0487804878048</v>
      </c>
      <c r="I56" s="59">
        <v>636.5853658536586</v>
      </c>
      <c r="J56" s="59">
        <v>559.7560975609756</v>
      </c>
      <c r="K56" s="59">
        <v>331.7073170731707</v>
      </c>
      <c r="L56" s="59">
        <v>324.390243902439</v>
      </c>
      <c r="M56" s="59">
        <v>373.1707317073171</v>
      </c>
      <c r="N56" s="59">
        <v>413.4146341463414</v>
      </c>
      <c r="O56" s="59">
        <v>482.9268292682927</v>
      </c>
    </row>
    <row r="57" spans="2:15" ht="12.75">
      <c r="B57" t="s">
        <v>236</v>
      </c>
      <c r="C57" s="113">
        <f>SUM(D57:O57)</f>
        <v>4149739.0243902435</v>
      </c>
      <c r="D57" s="59">
        <f aca="true" t="shared" si="16" ref="D57:O57">D6*D56</f>
        <v>432790.2439024391</v>
      </c>
      <c r="E57" s="59">
        <f t="shared" si="16"/>
        <v>330263.41463414626</v>
      </c>
      <c r="F57" s="59">
        <f t="shared" si="16"/>
        <v>312603.65853658534</v>
      </c>
      <c r="G57" s="59">
        <f t="shared" si="16"/>
        <v>353853.6585365853</v>
      </c>
      <c r="H57" s="59">
        <f t="shared" si="16"/>
        <v>430068.2926829268</v>
      </c>
      <c r="I57" s="59">
        <f t="shared" si="16"/>
        <v>458341.46341463417</v>
      </c>
      <c r="J57" s="59">
        <f t="shared" si="16"/>
        <v>416458.53658536583</v>
      </c>
      <c r="K57" s="59">
        <f t="shared" si="16"/>
        <v>246790.24390243902</v>
      </c>
      <c r="L57" s="59">
        <f t="shared" si="16"/>
        <v>233560.97560975607</v>
      </c>
      <c r="M57" s="59">
        <f t="shared" si="16"/>
        <v>277639.0243902439</v>
      </c>
      <c r="N57" s="59">
        <f t="shared" si="16"/>
        <v>298071.95121951215</v>
      </c>
      <c r="O57" s="59">
        <f t="shared" si="16"/>
        <v>359297.56097560975</v>
      </c>
    </row>
    <row r="58" spans="2:3" ht="12.75">
      <c r="B58" t="s">
        <v>181</v>
      </c>
      <c r="C58" s="115">
        <v>86492000</v>
      </c>
    </row>
    <row r="59" spans="2:3" ht="12.75">
      <c r="B59" t="s">
        <v>183</v>
      </c>
      <c r="C59" s="31">
        <f>C58/C57</f>
        <v>20.84275649423737</v>
      </c>
    </row>
    <row r="61" spans="2:15" ht="12.75">
      <c r="B61" t="s">
        <v>184</v>
      </c>
      <c r="D61" s="59">
        <v>645.4545454545455</v>
      </c>
      <c r="E61" s="59">
        <v>536.3636363636363</v>
      </c>
      <c r="F61" s="59">
        <v>427.27272727272725</v>
      </c>
      <c r="G61" s="59">
        <v>375.75757575757575</v>
      </c>
      <c r="H61" s="59">
        <v>275.75757575757575</v>
      </c>
      <c r="I61" s="59">
        <v>390.9090909090909</v>
      </c>
      <c r="J61" s="59">
        <v>430.30303030303025</v>
      </c>
      <c r="K61" s="59">
        <v>418.1818181818182</v>
      </c>
      <c r="L61" s="59">
        <v>372.72727272727275</v>
      </c>
      <c r="M61" s="59">
        <v>421.2121212121212</v>
      </c>
      <c r="N61" s="59">
        <v>460.60606060606057</v>
      </c>
      <c r="O61" s="59">
        <v>527.2727272727273</v>
      </c>
    </row>
    <row r="62" spans="2:15" ht="12.75">
      <c r="B62" t="s">
        <v>185</v>
      </c>
      <c r="C62" s="113">
        <f>SUM(D62:O62)</f>
        <v>3852687.8787878784</v>
      </c>
      <c r="D62" s="59">
        <f aca="true" t="shared" si="17" ref="D62:O62">D6*D61</f>
        <v>480218.1818181818</v>
      </c>
      <c r="E62" s="59">
        <f t="shared" si="17"/>
        <v>360436.3636363636</v>
      </c>
      <c r="F62" s="59">
        <f t="shared" si="17"/>
        <v>317463.63636363635</v>
      </c>
      <c r="G62" s="59">
        <f t="shared" si="17"/>
        <v>270545.45454545453</v>
      </c>
      <c r="H62" s="59">
        <f t="shared" si="17"/>
        <v>205163.63636363635</v>
      </c>
      <c r="I62" s="59">
        <f t="shared" si="17"/>
        <v>281454.5454545454</v>
      </c>
      <c r="J62" s="59">
        <f t="shared" si="17"/>
        <v>320145.45454545453</v>
      </c>
      <c r="K62" s="59">
        <f t="shared" si="17"/>
        <v>311127.2727272727</v>
      </c>
      <c r="L62" s="59">
        <f t="shared" si="17"/>
        <v>268363.63636363635</v>
      </c>
      <c r="M62" s="59">
        <f t="shared" si="17"/>
        <v>313381.8181818182</v>
      </c>
      <c r="N62" s="59">
        <f t="shared" si="17"/>
        <v>332096.96969696967</v>
      </c>
      <c r="O62" s="59">
        <f t="shared" si="17"/>
        <v>392290.90909090906</v>
      </c>
    </row>
    <row r="63" spans="2:3" ht="12.75">
      <c r="B63" t="s">
        <v>186</v>
      </c>
      <c r="C63" s="115">
        <v>65710000</v>
      </c>
    </row>
    <row r="64" spans="2:3" ht="12.75">
      <c r="B64" t="s">
        <v>187</v>
      </c>
      <c r="C64" s="31">
        <f>C63/C62</f>
        <v>17.055625077179492</v>
      </c>
    </row>
    <row r="66" spans="2:3" ht="12.75">
      <c r="B66" t="s">
        <v>188</v>
      </c>
      <c r="C66" s="31">
        <f>(C63+C58)/(C57+C62)</f>
        <v>19.01948019538345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2">
      <selection activeCell="A7" sqref="A7"/>
    </sheetView>
  </sheetViews>
  <sheetFormatPr defaultColWidth="9.00390625" defaultRowHeight="12.75"/>
  <cols>
    <col min="1" max="1" width="31.375" style="0" customWidth="1"/>
    <col min="2" max="2" width="13.125" style="0" customWidth="1"/>
    <col min="3" max="14" width="11.75390625" style="0" customWidth="1"/>
  </cols>
  <sheetData>
    <row r="1" ht="15.75">
      <c r="A1" s="122" t="s">
        <v>201</v>
      </c>
    </row>
    <row r="2" ht="15.75">
      <c r="A2" s="122" t="s">
        <v>258</v>
      </c>
    </row>
    <row r="3" ht="15.75">
      <c r="A3" s="122" t="s">
        <v>233</v>
      </c>
    </row>
    <row r="4" ht="15.75">
      <c r="A4" s="122"/>
    </row>
    <row r="5" ht="15.75">
      <c r="A5" s="122"/>
    </row>
    <row r="6" spans="1:2" ht="12.75">
      <c r="A6" s="123" t="s">
        <v>231</v>
      </c>
      <c r="B6" s="57"/>
    </row>
    <row r="7" ht="12.75">
      <c r="A7" s="125"/>
    </row>
    <row r="8" spans="2:14" ht="12.75">
      <c r="B8" s="112" t="s">
        <v>37</v>
      </c>
      <c r="C8" s="126">
        <v>39089</v>
      </c>
      <c r="D8" s="126">
        <v>39120</v>
      </c>
      <c r="E8" s="126">
        <v>39148</v>
      </c>
      <c r="F8" s="126">
        <v>39179</v>
      </c>
      <c r="G8" s="126">
        <v>39209</v>
      </c>
      <c r="H8" s="126">
        <v>39240</v>
      </c>
      <c r="I8" s="126">
        <v>39270</v>
      </c>
      <c r="J8" s="126">
        <v>39301</v>
      </c>
      <c r="K8" s="126">
        <v>39332</v>
      </c>
      <c r="L8" s="126">
        <v>39362</v>
      </c>
      <c r="M8" s="126">
        <v>39393</v>
      </c>
      <c r="N8" s="126">
        <v>39423</v>
      </c>
    </row>
    <row r="9" spans="2:14" ht="12.75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2.75">
      <c r="A10" t="s">
        <v>177</v>
      </c>
      <c r="B10" s="27">
        <f>SUM(C10:N10)</f>
        <v>103051913.46891847</v>
      </c>
      <c r="C10" s="27">
        <f>'WGJ-2'!K40</f>
        <v>12917498.142057229</v>
      </c>
      <c r="D10" s="27">
        <f>'WGJ-2'!L40</f>
        <v>10440596.19443156</v>
      </c>
      <c r="E10" s="27">
        <f>'WGJ-2'!M40</f>
        <v>10925524.995729735</v>
      </c>
      <c r="F10" s="27">
        <f>'WGJ-2'!N40</f>
        <v>7783758.021181257</v>
      </c>
      <c r="G10" s="27">
        <f>'WGJ-2'!O40</f>
        <v>5650996.976777959</v>
      </c>
      <c r="H10" s="27">
        <f>'WGJ-2'!P40</f>
        <v>5726076.275696405</v>
      </c>
      <c r="I10" s="27">
        <f>'WGJ-2'!Q40</f>
        <v>6233429.118058632</v>
      </c>
      <c r="J10" s="27">
        <f>'WGJ-2'!R40</f>
        <v>7987213.80405304</v>
      </c>
      <c r="K10" s="27">
        <f>'WGJ-2'!S40</f>
        <v>6580019.486133595</v>
      </c>
      <c r="L10" s="27">
        <f>'WGJ-2'!T40</f>
        <v>8648954.06666709</v>
      </c>
      <c r="M10" s="27">
        <f>'WGJ-2'!U40</f>
        <v>11064569.804443857</v>
      </c>
      <c r="N10" s="27">
        <f>'WGJ-2'!V40</f>
        <v>9093276.583688127</v>
      </c>
    </row>
    <row r="11" spans="2:14" ht="12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2.75">
      <c r="A12" t="s">
        <v>176</v>
      </c>
      <c r="B12" s="27">
        <f>SUM(C12:N12)</f>
        <v>31555443.00793457</v>
      </c>
      <c r="C12" s="27">
        <f>'WGJ-2'!K53</f>
        <v>3099386.0239257812</v>
      </c>
      <c r="D12" s="27">
        <f>'WGJ-2'!L53</f>
        <v>2831043.1796875</v>
      </c>
      <c r="E12" s="27">
        <f>'WGJ-2'!M53</f>
        <v>3080804.689086914</v>
      </c>
      <c r="F12" s="27">
        <f>'WGJ-2'!N53</f>
        <v>1679497.0407714844</v>
      </c>
      <c r="G12" s="27">
        <f>'WGJ-2'!O53</f>
        <v>1405431.3858642578</v>
      </c>
      <c r="H12" s="27">
        <f>'WGJ-2'!P53</f>
        <v>1319155.7608642578</v>
      </c>
      <c r="I12" s="27">
        <f>'WGJ-2'!Q53</f>
        <v>2815819.0354003906</v>
      </c>
      <c r="J12" s="27">
        <f>'WGJ-2'!R53</f>
        <v>3112812.2849121094</v>
      </c>
      <c r="K12" s="27">
        <f>'WGJ-2'!S53</f>
        <v>2986079.604248047</v>
      </c>
      <c r="L12" s="27">
        <f>'WGJ-2'!T53</f>
        <v>3100776.822265625</v>
      </c>
      <c r="M12" s="27">
        <f>'WGJ-2'!U53</f>
        <v>3022335.2939453125</v>
      </c>
      <c r="N12" s="27">
        <f>'WGJ-2'!V53</f>
        <v>3102301.8869628906</v>
      </c>
    </row>
    <row r="13" spans="2:14" ht="12.7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2.75">
      <c r="A14" t="s">
        <v>175</v>
      </c>
      <c r="B14" s="27">
        <f>SUM(C14:N14)</f>
        <v>126785517.80682829</v>
      </c>
      <c r="C14" s="27">
        <f>'WGJ-2'!K66</f>
        <v>12824104.946429813</v>
      </c>
      <c r="D14" s="27">
        <f>'WGJ-2'!L66</f>
        <v>12204217.08492275</v>
      </c>
      <c r="E14" s="27">
        <f>'WGJ-2'!M66</f>
        <v>9830504.125971904</v>
      </c>
      <c r="F14" s="27">
        <f>'WGJ-2'!N66</f>
        <v>3869080.5903853965</v>
      </c>
      <c r="G14" s="27">
        <f>'WGJ-2'!O66</f>
        <v>2666817.455111636</v>
      </c>
      <c r="H14" s="27">
        <f>'WGJ-2'!P66</f>
        <v>3411342.6951552</v>
      </c>
      <c r="I14" s="27">
        <f>'WGJ-2'!Q66</f>
        <v>11551233.691903258</v>
      </c>
      <c r="J14" s="27">
        <f>'WGJ-2'!R66</f>
        <v>14517306.48150967</v>
      </c>
      <c r="K14" s="27">
        <f>'WGJ-2'!S66</f>
        <v>13871536.50429714</v>
      </c>
      <c r="L14" s="27">
        <f>'WGJ-2'!T66</f>
        <v>11895711.911820406</v>
      </c>
      <c r="M14" s="27">
        <f>'WGJ-2'!U66</f>
        <v>14406746.480819527</v>
      </c>
      <c r="N14" s="27">
        <f>'WGJ-2'!V66</f>
        <v>15736915.838501573</v>
      </c>
    </row>
    <row r="15" spans="2:14" ht="12.7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2.75">
      <c r="A16" s="17" t="s">
        <v>174</v>
      </c>
      <c r="B16" s="132">
        <f>SUM(C16:N16)</f>
        <v>46822308.45409797</v>
      </c>
      <c r="C16" s="132">
        <f>'WGJ-2'!K106</f>
        <v>2589294.187295202</v>
      </c>
      <c r="D16" s="132">
        <f>'WGJ-2'!L106</f>
        <v>3210562.882654439</v>
      </c>
      <c r="E16" s="132">
        <f>'WGJ-2'!M106</f>
        <v>3153538.167042725</v>
      </c>
      <c r="F16" s="132">
        <f>'WGJ-2'!N106</f>
        <v>4013663.4170189025</v>
      </c>
      <c r="G16" s="132">
        <f>'WGJ-2'!O106</f>
        <v>4692990.151748295</v>
      </c>
      <c r="H16" s="132">
        <f>'WGJ-2'!P106</f>
        <v>4891225.583000333</v>
      </c>
      <c r="I16" s="132">
        <f>'WGJ-2'!Q106</f>
        <v>6490853.061640044</v>
      </c>
      <c r="J16" s="132">
        <f>'WGJ-2'!R106</f>
        <v>4003149.0862437426</v>
      </c>
      <c r="K16" s="132">
        <f>'WGJ-2'!S106</f>
        <v>3815561.9582371274</v>
      </c>
      <c r="L16" s="132">
        <f>'WGJ-2'!T106</f>
        <v>1903245.9717537742</v>
      </c>
      <c r="M16" s="132">
        <f>'WGJ-2'!U106</f>
        <v>2828830.475351039</v>
      </c>
      <c r="N16" s="132">
        <f>'WGJ-2'!V106</f>
        <v>5229393.512112347</v>
      </c>
    </row>
    <row r="17" spans="2:14" ht="12.7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2.75">
      <c r="A18" s="2" t="s">
        <v>165</v>
      </c>
      <c r="B18" s="27">
        <f>SUM(C18:N18)</f>
        <v>214570565.82958335</v>
      </c>
      <c r="C18" s="27">
        <f>SUM(C10:C14)-C16</f>
        <v>26251694.925117623</v>
      </c>
      <c r="D18" s="27">
        <f aca="true" t="shared" si="0" ref="D18:N18">SUM(D10:D14)-D16</f>
        <v>22265293.576387372</v>
      </c>
      <c r="E18" s="27">
        <f t="shared" si="0"/>
        <v>20683295.64374583</v>
      </c>
      <c r="F18" s="27">
        <f t="shared" si="0"/>
        <v>9318672.235319234</v>
      </c>
      <c r="G18" s="27">
        <f t="shared" si="0"/>
        <v>5030255.6660055565</v>
      </c>
      <c r="H18" s="27">
        <f t="shared" si="0"/>
        <v>5565349.1487155305</v>
      </c>
      <c r="I18" s="27">
        <f t="shared" si="0"/>
        <v>14109628.78372224</v>
      </c>
      <c r="J18" s="27">
        <f t="shared" si="0"/>
        <v>21614183.484231077</v>
      </c>
      <c r="K18" s="27">
        <f t="shared" si="0"/>
        <v>19622073.636441655</v>
      </c>
      <c r="L18" s="27">
        <f t="shared" si="0"/>
        <v>21742196.828999348</v>
      </c>
      <c r="M18" s="27">
        <f t="shared" si="0"/>
        <v>25664821.103857655</v>
      </c>
      <c r="N18" s="27">
        <f t="shared" si="0"/>
        <v>22703100.79704024</v>
      </c>
    </row>
    <row r="19" spans="2:14" ht="12.75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2.75" customHeight="1">
      <c r="A20" s="2" t="s">
        <v>234</v>
      </c>
      <c r="B20" s="27">
        <f>SUM(C20:N20)</f>
        <v>17647661.000000004</v>
      </c>
      <c r="C20" s="27">
        <f>'WGJ-2'!K83</f>
        <v>1469583.3333333333</v>
      </c>
      <c r="D20" s="27">
        <f>'WGJ-2'!L83</f>
        <v>1469583.3333333333</v>
      </c>
      <c r="E20" s="27">
        <f>'WGJ-2'!M83</f>
        <v>1469583.3333333333</v>
      </c>
      <c r="F20" s="27">
        <f>'WGJ-2'!N83</f>
        <v>1469583.3333333333</v>
      </c>
      <c r="G20" s="27">
        <f>'WGJ-2'!O83</f>
        <v>1469583.3333333333</v>
      </c>
      <c r="H20" s="27">
        <f>'WGJ-2'!P83</f>
        <v>1469583.3333333333</v>
      </c>
      <c r="I20" s="27">
        <f>'WGJ-2'!Q83</f>
        <v>1482244.3333333333</v>
      </c>
      <c r="J20" s="27">
        <f>'WGJ-2'!R83</f>
        <v>1469583.3333333333</v>
      </c>
      <c r="K20" s="27">
        <f>'WGJ-2'!S83</f>
        <v>1469583.3333333333</v>
      </c>
      <c r="L20" s="27">
        <f>'WGJ-2'!T83</f>
        <v>1469583.3333333333</v>
      </c>
      <c r="M20" s="27">
        <f>'WGJ-2'!U83</f>
        <v>1469583.3333333333</v>
      </c>
      <c r="N20" s="27">
        <f>'WGJ-2'!V83</f>
        <v>1469583.3333333333</v>
      </c>
    </row>
    <row r="21" ht="12.75" customHeight="1">
      <c r="A21" s="2"/>
    </row>
    <row r="22" spans="1:14" ht="12.75" customHeight="1">
      <c r="A22" s="2" t="s">
        <v>235</v>
      </c>
      <c r="B22" s="131">
        <f>SUM(C22:N22)</f>
        <v>12346484.071619501</v>
      </c>
      <c r="C22" s="131">
        <v>901304.089461625</v>
      </c>
      <c r="D22" s="131">
        <v>825004.267061625</v>
      </c>
      <c r="E22" s="131">
        <v>1002239.9454616251</v>
      </c>
      <c r="F22" s="131">
        <v>898431.610261625</v>
      </c>
      <c r="G22" s="131">
        <v>1029103.725461625</v>
      </c>
      <c r="H22" s="131">
        <v>1371346.6678616249</v>
      </c>
      <c r="I22" s="131">
        <v>1379878.078261625</v>
      </c>
      <c r="J22" s="131">
        <v>1150202.998261625</v>
      </c>
      <c r="K22" s="131">
        <v>1025629.100381625</v>
      </c>
      <c r="L22" s="131">
        <v>1027311.6363816251</v>
      </c>
      <c r="M22" s="131">
        <v>925341.921981625</v>
      </c>
      <c r="N22" s="131">
        <v>810690.0307816251</v>
      </c>
    </row>
    <row r="23" spans="1:2" ht="12.75" customHeight="1">
      <c r="A23" s="2"/>
      <c r="B23" s="131"/>
    </row>
    <row r="24" spans="1:14" ht="12.75" customHeight="1">
      <c r="A24" s="2" t="s">
        <v>254</v>
      </c>
      <c r="B24" s="131">
        <f>SUM(C24:N24)</f>
        <v>124311</v>
      </c>
      <c r="C24" s="27">
        <v>10359.25</v>
      </c>
      <c r="D24" s="27">
        <v>10359.25</v>
      </c>
      <c r="E24" s="27">
        <v>10359.25</v>
      </c>
      <c r="F24" s="27">
        <v>10359.25</v>
      </c>
      <c r="G24" s="27">
        <v>10359.25</v>
      </c>
      <c r="H24" s="27">
        <v>10359.25</v>
      </c>
      <c r="I24" s="27">
        <v>10359.25</v>
      </c>
      <c r="J24" s="27">
        <v>10359.25</v>
      </c>
      <c r="K24" s="27">
        <v>10359.25</v>
      </c>
      <c r="L24" s="27">
        <v>10359.25</v>
      </c>
      <c r="M24" s="27">
        <v>10359.25</v>
      </c>
      <c r="N24" s="27">
        <v>10359.25</v>
      </c>
    </row>
    <row r="25" ht="12.75" customHeight="1">
      <c r="A25" s="2"/>
    </row>
    <row r="26" ht="12.75" customHeight="1">
      <c r="A26" s="2"/>
    </row>
    <row r="28" spans="1:3" ht="12.75">
      <c r="A28" s="123" t="s">
        <v>232</v>
      </c>
      <c r="B28" s="57"/>
      <c r="C28" s="124"/>
    </row>
    <row r="30" spans="2:14" ht="12.75">
      <c r="B30" s="112" t="s">
        <v>37</v>
      </c>
      <c r="C30" s="126">
        <v>39089</v>
      </c>
      <c r="D30" s="126">
        <v>39120</v>
      </c>
      <c r="E30" s="126">
        <v>39148</v>
      </c>
      <c r="F30" s="126">
        <v>39179</v>
      </c>
      <c r="G30" s="126">
        <v>39209</v>
      </c>
      <c r="H30" s="126">
        <v>39240</v>
      </c>
      <c r="I30" s="126">
        <v>39270</v>
      </c>
      <c r="J30" s="126">
        <v>39301</v>
      </c>
      <c r="K30" s="126">
        <v>39332</v>
      </c>
      <c r="L30" s="126">
        <v>39362</v>
      </c>
      <c r="M30" s="126">
        <v>39393</v>
      </c>
      <c r="N30" s="126">
        <v>39423</v>
      </c>
    </row>
    <row r="32" spans="1:14" ht="12.75">
      <c r="A32" s="2" t="s">
        <v>200</v>
      </c>
      <c r="B32" s="3">
        <f>SUM(C32:N32)</f>
        <v>5744339.492050804</v>
      </c>
      <c r="C32" s="129">
        <v>571575.1017714121</v>
      </c>
      <c r="D32" s="129">
        <v>513753.5699085443</v>
      </c>
      <c r="E32" s="129">
        <v>484378.24984926346</v>
      </c>
      <c r="F32" s="129">
        <v>414714.64303908864</v>
      </c>
      <c r="G32" s="129">
        <v>425446.2814696021</v>
      </c>
      <c r="H32" s="129">
        <v>433390.5943520929</v>
      </c>
      <c r="I32" s="129">
        <v>470142.7359492656</v>
      </c>
      <c r="J32" s="129">
        <v>486497.1739067399</v>
      </c>
      <c r="K32" s="129">
        <v>453822.7551423281</v>
      </c>
      <c r="L32" s="129">
        <v>462218.3146079651</v>
      </c>
      <c r="M32" s="129">
        <v>485465.7270622949</v>
      </c>
      <c r="N32" s="129">
        <v>542934.3449922067</v>
      </c>
    </row>
    <row r="34" spans="1:3" ht="12.75">
      <c r="A34" s="2" t="s">
        <v>255</v>
      </c>
      <c r="B34" s="31">
        <v>52.8</v>
      </c>
      <c r="C34" s="133" t="s">
        <v>256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  <headerFooter alignWithMargins="0">
    <oddHeader>&amp;RExhibit No. _____ (WGJ-5)</oddHeader>
    <oddFooter>&amp;R&amp;12&amp;P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00"/>
  <sheetViews>
    <sheetView zoomScalePageLayoutView="0" workbookViewId="0" topLeftCell="A1">
      <selection activeCell="J65" sqref="J65:V65"/>
    </sheetView>
  </sheetViews>
  <sheetFormatPr defaultColWidth="11.375" defaultRowHeight="12.75"/>
  <cols>
    <col min="1" max="1" width="6.125" style="4" customWidth="1"/>
    <col min="2" max="2" width="38.375" style="0" customWidth="1"/>
    <col min="3" max="3" width="9.00390625" style="0" customWidth="1"/>
    <col min="4" max="4" width="15.25390625" style="0" customWidth="1"/>
    <col min="5" max="5" width="13.00390625" style="0" customWidth="1"/>
    <col min="6" max="6" width="14.25390625" style="3" customWidth="1"/>
    <col min="7" max="7" width="13.125" style="3" customWidth="1"/>
    <col min="8" max="8" width="14.75390625" style="3" hidden="1" customWidth="1"/>
    <col min="9" max="9" width="31.625" style="20" customWidth="1"/>
    <col min="10" max="10" width="15.875" style="0" customWidth="1"/>
    <col min="11" max="11" width="12.00390625" style="0" customWidth="1"/>
  </cols>
  <sheetData>
    <row r="1" spans="1:9" ht="12.75">
      <c r="A1" s="8"/>
      <c r="B1" s="8"/>
      <c r="C1" s="14" t="s">
        <v>36</v>
      </c>
      <c r="F1"/>
      <c r="G1"/>
      <c r="H1"/>
      <c r="I1"/>
    </row>
    <row r="2" spans="1:9" ht="12.75">
      <c r="A2" s="8"/>
      <c r="B2" s="8"/>
      <c r="C2" s="14" t="s">
        <v>230</v>
      </c>
      <c r="F2"/>
      <c r="G2"/>
      <c r="H2"/>
      <c r="I2"/>
    </row>
    <row r="3" spans="1:9" ht="12.75">
      <c r="A3" s="10"/>
      <c r="B3" s="8"/>
      <c r="C3" s="14" t="s">
        <v>244</v>
      </c>
      <c r="F3"/>
      <c r="G3"/>
      <c r="H3"/>
      <c r="I3" s="75"/>
    </row>
    <row r="4" spans="1:22" ht="12.75" customHeight="1">
      <c r="A4" s="5"/>
      <c r="D4" s="11"/>
      <c r="E4" s="11"/>
      <c r="F4" s="11"/>
      <c r="G4" s="11"/>
      <c r="H4" s="11" t="s">
        <v>146</v>
      </c>
      <c r="I4" s="86"/>
      <c r="K4">
        <v>744</v>
      </c>
      <c r="L4">
        <v>672</v>
      </c>
      <c r="M4">
        <v>744</v>
      </c>
      <c r="N4">
        <v>719</v>
      </c>
      <c r="O4">
        <v>744</v>
      </c>
      <c r="P4">
        <v>720</v>
      </c>
      <c r="Q4">
        <v>744</v>
      </c>
      <c r="R4">
        <v>744</v>
      </c>
      <c r="S4">
        <v>720</v>
      </c>
      <c r="T4">
        <v>745</v>
      </c>
      <c r="U4">
        <v>720</v>
      </c>
      <c r="V4">
        <v>744</v>
      </c>
    </row>
    <row r="5" spans="1:9" ht="12.75">
      <c r="A5" s="5" t="s">
        <v>0</v>
      </c>
      <c r="D5" s="56" t="s">
        <v>237</v>
      </c>
      <c r="E5" s="11"/>
      <c r="F5" s="56" t="s">
        <v>238</v>
      </c>
      <c r="G5" s="56"/>
      <c r="H5" s="56" t="s">
        <v>144</v>
      </c>
      <c r="I5" s="87"/>
    </row>
    <row r="6" spans="1:22" ht="12.75">
      <c r="A6" s="48" t="s">
        <v>1</v>
      </c>
      <c r="D6" s="15" t="s">
        <v>2</v>
      </c>
      <c r="E6" s="1" t="s">
        <v>3</v>
      </c>
      <c r="F6" s="15" t="s">
        <v>198</v>
      </c>
      <c r="G6" s="15"/>
      <c r="H6" s="15" t="s">
        <v>145</v>
      </c>
      <c r="I6" s="90" t="s">
        <v>128</v>
      </c>
      <c r="J6" s="83" t="s">
        <v>37</v>
      </c>
      <c r="K6" s="50">
        <v>39082</v>
      </c>
      <c r="L6" s="50">
        <v>39113</v>
      </c>
      <c r="M6" s="50">
        <v>39141</v>
      </c>
      <c r="N6" s="50">
        <v>39172</v>
      </c>
      <c r="O6" s="50">
        <v>39202</v>
      </c>
      <c r="P6" s="50">
        <v>39233</v>
      </c>
      <c r="Q6" s="50">
        <v>39263</v>
      </c>
      <c r="R6" s="50">
        <v>39294</v>
      </c>
      <c r="S6" s="50">
        <v>39325</v>
      </c>
      <c r="T6" s="50">
        <v>39355</v>
      </c>
      <c r="U6" s="50">
        <v>39386</v>
      </c>
      <c r="V6" s="50">
        <v>39416</v>
      </c>
    </row>
    <row r="7" spans="1:9" ht="12.75">
      <c r="A7" s="5"/>
      <c r="B7" s="7" t="s">
        <v>4</v>
      </c>
      <c r="D7" s="9"/>
      <c r="E7" s="12"/>
      <c r="F7" s="9"/>
      <c r="G7" s="9"/>
      <c r="H7" s="9"/>
      <c r="I7" s="19"/>
    </row>
    <row r="8" spans="1:22" ht="12.75">
      <c r="A8" s="5">
        <f aca="true" t="shared" si="0" ref="A8:A16">A7+1</f>
        <v>1</v>
      </c>
      <c r="B8" t="s">
        <v>196</v>
      </c>
      <c r="D8" s="18">
        <v>0</v>
      </c>
      <c r="E8" s="18">
        <f aca="true" t="shared" si="1" ref="E8:E15">F8-D8</f>
        <v>39617.313186702726</v>
      </c>
      <c r="F8" s="18">
        <f>'WGJ-4'!C13/1000</f>
        <v>39617.313186702726</v>
      </c>
      <c r="G8" s="18"/>
      <c r="H8" s="18">
        <v>20917.01898142919</v>
      </c>
      <c r="I8" s="98" t="s">
        <v>139</v>
      </c>
      <c r="J8" s="3">
        <f>SUM(K8:V8)/1000</f>
        <v>39617.313186702726</v>
      </c>
      <c r="K8" s="59">
        <f>'WGJ-4'!D13</f>
        <v>5278784.849243164</v>
      </c>
      <c r="L8" s="59">
        <f>'WGJ-4'!E13</f>
        <v>3430992.7084350586</v>
      </c>
      <c r="M8" s="59">
        <f>'WGJ-4'!F13</f>
        <v>4978555.943603516</v>
      </c>
      <c r="N8" s="59">
        <f>'WGJ-4'!G13</f>
        <v>2307005.918636322</v>
      </c>
      <c r="O8" s="59">
        <f>'WGJ-4'!H13</f>
        <v>1262800.6756591797</v>
      </c>
      <c r="P8" s="59">
        <f>'WGJ-4'!I13</f>
        <v>1320323.8671875</v>
      </c>
      <c r="Q8" s="59">
        <f>'WGJ-4'!J13</f>
        <v>2057682.8387451174</v>
      </c>
      <c r="R8" s="59">
        <f>'WGJ-4'!K13</f>
        <v>4104876.030273437</v>
      </c>
      <c r="S8" s="59">
        <f>'WGJ-4'!L13</f>
        <v>2809379.2041015625</v>
      </c>
      <c r="T8" s="59">
        <f>'WGJ-4'!M13</f>
        <v>5137228.96484375</v>
      </c>
      <c r="U8" s="59">
        <f>'WGJ-4'!N13</f>
        <v>4563357.316894531</v>
      </c>
      <c r="V8" s="59">
        <f>'WGJ-4'!O13</f>
        <v>2366324.86907959</v>
      </c>
    </row>
    <row r="9" spans="1:22" ht="12.75">
      <c r="A9" s="5">
        <f t="shared" si="0"/>
        <v>2</v>
      </c>
      <c r="B9" t="s">
        <v>202</v>
      </c>
      <c r="D9" s="19">
        <v>198063</v>
      </c>
      <c r="E9" s="19">
        <f t="shared" si="1"/>
        <v>-196345</v>
      </c>
      <c r="F9" s="19">
        <v>1718</v>
      </c>
      <c r="G9" s="18"/>
      <c r="H9" s="18"/>
      <c r="I9" s="98"/>
      <c r="J9" s="3">
        <f>SUM(K9:V9)/1000</f>
        <v>1717.6</v>
      </c>
      <c r="K9" s="59">
        <v>565000</v>
      </c>
      <c r="L9" s="59">
        <v>542400</v>
      </c>
      <c r="M9" s="59">
        <v>610200</v>
      </c>
      <c r="N9" s="59">
        <v>0</v>
      </c>
      <c r="O9" s="59"/>
      <c r="P9" s="59"/>
      <c r="Q9" s="59"/>
      <c r="R9" s="59"/>
      <c r="S9" s="59"/>
      <c r="T9" s="59"/>
      <c r="U9" s="59"/>
      <c r="V9" s="59"/>
    </row>
    <row r="10" spans="1:22" ht="12.75">
      <c r="A10" s="5">
        <f t="shared" si="0"/>
        <v>3</v>
      </c>
      <c r="B10" t="s">
        <v>211</v>
      </c>
      <c r="D10" s="19">
        <v>0</v>
      </c>
      <c r="E10" s="19">
        <f t="shared" si="1"/>
        <v>-520</v>
      </c>
      <c r="F10" s="92">
        <v>-520</v>
      </c>
      <c r="G10" s="18"/>
      <c r="H10" s="18"/>
      <c r="I10" s="98"/>
      <c r="J10" s="3">
        <f>SUM(K10:V10)/1000</f>
        <v>-519.7382008457175</v>
      </c>
      <c r="K10" s="59">
        <v>-177000.78522896447</v>
      </c>
      <c r="L10" s="59">
        <v>-162380.28644714993</v>
      </c>
      <c r="M10" s="59">
        <v>-180357.12916960317</v>
      </c>
      <c r="N10" s="59"/>
      <c r="O10" s="59"/>
      <c r="P10" s="59"/>
      <c r="Q10" s="59"/>
      <c r="R10" s="59"/>
      <c r="S10" s="59"/>
      <c r="T10" s="59"/>
      <c r="U10" s="59"/>
      <c r="V10" s="59"/>
    </row>
    <row r="11" spans="1:22" ht="12.75">
      <c r="A11" s="5">
        <f t="shared" si="0"/>
        <v>4</v>
      </c>
      <c r="B11" t="s">
        <v>5</v>
      </c>
      <c r="D11" s="92">
        <v>1658</v>
      </c>
      <c r="E11" s="19">
        <f t="shared" si="1"/>
        <v>97</v>
      </c>
      <c r="F11" s="94">
        <v>1755</v>
      </c>
      <c r="G11" s="22"/>
      <c r="H11" s="22">
        <v>1916</v>
      </c>
      <c r="I11" s="19"/>
      <c r="J11" s="3">
        <f>SUM(K11:V11)/1000</f>
        <v>1755</v>
      </c>
      <c r="K11" s="58">
        <f>$F11/12*1000</f>
        <v>146250</v>
      </c>
      <c r="L11" s="58">
        <f aca="true" t="shared" si="2" ref="L11:V11">$F11/12*1000</f>
        <v>146250</v>
      </c>
      <c r="M11" s="58">
        <f t="shared" si="2"/>
        <v>146250</v>
      </c>
      <c r="N11" s="58">
        <f t="shared" si="2"/>
        <v>146250</v>
      </c>
      <c r="O11" s="58">
        <f t="shared" si="2"/>
        <v>146250</v>
      </c>
      <c r="P11" s="58">
        <f t="shared" si="2"/>
        <v>146250</v>
      </c>
      <c r="Q11" s="58">
        <f t="shared" si="2"/>
        <v>146250</v>
      </c>
      <c r="R11" s="58">
        <f t="shared" si="2"/>
        <v>146250</v>
      </c>
      <c r="S11" s="58">
        <f t="shared" si="2"/>
        <v>146250</v>
      </c>
      <c r="T11" s="58">
        <f t="shared" si="2"/>
        <v>146250</v>
      </c>
      <c r="U11" s="58">
        <f t="shared" si="2"/>
        <v>146250</v>
      </c>
      <c r="V11" s="58">
        <f t="shared" si="2"/>
        <v>146250</v>
      </c>
    </row>
    <row r="12" spans="1:22" ht="12.75">
      <c r="A12" s="5">
        <f t="shared" si="0"/>
        <v>5</v>
      </c>
      <c r="B12" t="s">
        <v>6</v>
      </c>
      <c r="D12" s="92">
        <v>4989</v>
      </c>
      <c r="E12" s="19">
        <f t="shared" si="1"/>
        <v>-4989</v>
      </c>
      <c r="F12" s="19">
        <v>0</v>
      </c>
      <c r="G12" s="97"/>
      <c r="H12" s="19">
        <v>3534</v>
      </c>
      <c r="I12" s="19"/>
      <c r="J12" s="3">
        <f aca="true" t="shared" si="3" ref="J12:J40">SUM(K12:V12)/1000</f>
        <v>0</v>
      </c>
      <c r="K12" s="58">
        <f>$F12/12*1000</f>
        <v>0</v>
      </c>
      <c r="L12" s="58">
        <f aca="true" t="shared" si="4" ref="L12:V12">$F12/12*1000</f>
        <v>0</v>
      </c>
      <c r="M12" s="58">
        <f t="shared" si="4"/>
        <v>0</v>
      </c>
      <c r="N12" s="58">
        <f t="shared" si="4"/>
        <v>0</v>
      </c>
      <c r="O12" s="58">
        <f t="shared" si="4"/>
        <v>0</v>
      </c>
      <c r="P12" s="58">
        <f t="shared" si="4"/>
        <v>0</v>
      </c>
      <c r="Q12" s="58">
        <f t="shared" si="4"/>
        <v>0</v>
      </c>
      <c r="R12" s="58">
        <f t="shared" si="4"/>
        <v>0</v>
      </c>
      <c r="S12" s="58">
        <f t="shared" si="4"/>
        <v>0</v>
      </c>
      <c r="T12" s="58">
        <f t="shared" si="4"/>
        <v>0</v>
      </c>
      <c r="U12" s="58">
        <f t="shared" si="4"/>
        <v>0</v>
      </c>
      <c r="V12" s="58">
        <f t="shared" si="4"/>
        <v>0</v>
      </c>
    </row>
    <row r="13" spans="1:22" ht="12.75">
      <c r="A13" s="5">
        <f t="shared" si="0"/>
        <v>6</v>
      </c>
      <c r="B13" t="s">
        <v>241</v>
      </c>
      <c r="D13" s="92">
        <v>1412</v>
      </c>
      <c r="E13" s="19">
        <f t="shared" si="1"/>
        <v>160</v>
      </c>
      <c r="F13" s="94">
        <v>1572</v>
      </c>
      <c r="G13" s="22"/>
      <c r="H13" s="22">
        <v>1177</v>
      </c>
      <c r="I13" s="19"/>
      <c r="J13" s="3">
        <f>SUM(K13:V13)/1000</f>
        <v>1572.3890020808585</v>
      </c>
      <c r="K13" s="58">
        <v>131032.4168400715</v>
      </c>
      <c r="L13" s="58">
        <v>131032.4168400715</v>
      </c>
      <c r="M13" s="58">
        <v>131032.4168400715</v>
      </c>
      <c r="N13" s="58">
        <v>131032.4168400715</v>
      </c>
      <c r="O13" s="58">
        <v>131032.4168400715</v>
      </c>
      <c r="P13" s="58">
        <v>131032.4168400715</v>
      </c>
      <c r="Q13" s="58">
        <v>131032.4168400715</v>
      </c>
      <c r="R13" s="58">
        <v>131032.4168400715</v>
      </c>
      <c r="S13" s="58">
        <v>131032.4168400715</v>
      </c>
      <c r="T13" s="58">
        <v>131032.4168400715</v>
      </c>
      <c r="U13" s="58">
        <v>131032.4168400715</v>
      </c>
      <c r="V13" s="58">
        <v>131032.4168400715</v>
      </c>
    </row>
    <row r="14" spans="1:22" ht="12.75">
      <c r="A14" s="5">
        <f t="shared" si="0"/>
        <v>7</v>
      </c>
      <c r="B14" t="s">
        <v>242</v>
      </c>
      <c r="D14" s="92">
        <v>11202</v>
      </c>
      <c r="E14" s="19">
        <f t="shared" si="1"/>
        <v>-11202</v>
      </c>
      <c r="F14" s="94">
        <v>0</v>
      </c>
      <c r="G14" s="22"/>
      <c r="H14" s="22"/>
      <c r="I14" s="19"/>
      <c r="J14" s="3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1:22" ht="12.75">
      <c r="A15" s="5">
        <f t="shared" si="0"/>
        <v>8</v>
      </c>
      <c r="B15" t="s">
        <v>189</v>
      </c>
      <c r="D15" s="92">
        <v>4999</v>
      </c>
      <c r="E15" s="19">
        <f t="shared" si="1"/>
        <v>691.4992566011515</v>
      </c>
      <c r="F15" s="92">
        <f>Index!C52/1000</f>
        <v>5690.4992566011515</v>
      </c>
      <c r="G15" s="97" t="s">
        <v>138</v>
      </c>
      <c r="H15" s="19">
        <v>0</v>
      </c>
      <c r="I15" s="97" t="s">
        <v>159</v>
      </c>
      <c r="J15" s="3">
        <f t="shared" si="3"/>
        <v>5690.4992566011515</v>
      </c>
      <c r="K15" s="58">
        <f>Index!D52</f>
        <v>656093.7781609423</v>
      </c>
      <c r="L15" s="58">
        <f>Index!E52</f>
        <v>497122.10954432865</v>
      </c>
      <c r="M15" s="58">
        <f>Index!F52</f>
        <v>429218.62321101624</v>
      </c>
      <c r="N15" s="58">
        <f>Index!G52</f>
        <v>443346.7454434659</v>
      </c>
      <c r="O15" s="58">
        <f>Index!H52</f>
        <v>446936.99322138063</v>
      </c>
      <c r="P15" s="58">
        <f>Index!I52</f>
        <v>530328.9218024329</v>
      </c>
      <c r="Q15" s="58">
        <f>Index!J52</f>
        <v>531803.6048234925</v>
      </c>
      <c r="R15" s="58">
        <f>Index!K52</f>
        <v>401373.86154154444</v>
      </c>
      <c r="S15" s="58">
        <f>Index!L52</f>
        <v>360443.6586266609</v>
      </c>
      <c r="T15" s="58">
        <f>Index!M52</f>
        <v>422070.3257289427</v>
      </c>
      <c r="U15" s="58">
        <f>Index!N52</f>
        <v>440564.9302388224</v>
      </c>
      <c r="V15" s="58">
        <f>Index!O52</f>
        <v>531195.7042581213</v>
      </c>
    </row>
    <row r="16" spans="1:22" ht="12.75">
      <c r="A16" s="5">
        <f t="shared" si="0"/>
        <v>9</v>
      </c>
      <c r="B16" t="s">
        <v>136</v>
      </c>
      <c r="D16" s="92">
        <v>5333</v>
      </c>
      <c r="E16" s="92">
        <f aca="true" t="shared" si="5" ref="E16:E27">F16-D16</f>
        <v>-1162</v>
      </c>
      <c r="F16" s="94">
        <v>4171</v>
      </c>
      <c r="G16" s="94"/>
      <c r="H16" s="94">
        <v>13906</v>
      </c>
      <c r="I16" s="19"/>
      <c r="J16" s="3">
        <f t="shared" si="3"/>
        <v>4171.154</v>
      </c>
      <c r="K16" s="58">
        <v>412607</v>
      </c>
      <c r="L16" s="58">
        <v>391159</v>
      </c>
      <c r="M16" s="58">
        <v>403466</v>
      </c>
      <c r="N16" s="58">
        <v>528127</v>
      </c>
      <c r="O16" s="58">
        <v>542864</v>
      </c>
      <c r="P16" s="58">
        <v>455032</v>
      </c>
      <c r="Q16" s="58">
        <v>534195</v>
      </c>
      <c r="R16" s="58">
        <v>453675</v>
      </c>
      <c r="S16" s="58">
        <v>450029</v>
      </c>
      <c r="T16" s="58">
        <v>0</v>
      </c>
      <c r="U16" s="58">
        <v>0</v>
      </c>
      <c r="V16" s="58">
        <v>0</v>
      </c>
    </row>
    <row r="17" spans="1:22" ht="12.75">
      <c r="A17" s="5">
        <f aca="true" t="shared" si="6" ref="A17:A40">A16+1</f>
        <v>10</v>
      </c>
      <c r="B17" t="s">
        <v>135</v>
      </c>
      <c r="D17" s="92">
        <v>365</v>
      </c>
      <c r="E17" s="92">
        <f t="shared" si="5"/>
        <v>220</v>
      </c>
      <c r="F17" s="94">
        <v>585</v>
      </c>
      <c r="G17" s="94"/>
      <c r="H17" s="94">
        <v>5512</v>
      </c>
      <c r="I17" s="19"/>
      <c r="J17" s="3">
        <f t="shared" si="3"/>
        <v>585.2013559635748</v>
      </c>
      <c r="K17" s="58">
        <v>31803.486943013966</v>
      </c>
      <c r="L17" s="58">
        <v>29515.266857768293</v>
      </c>
      <c r="M17" s="58">
        <v>45442.40810285518</v>
      </c>
      <c r="N17" s="58">
        <v>72312.28705050297</v>
      </c>
      <c r="O17" s="58">
        <v>99551.73396632962</v>
      </c>
      <c r="P17" s="58">
        <v>104727.72149278224</v>
      </c>
      <c r="Q17" s="58">
        <v>74418.91992056498</v>
      </c>
      <c r="R17" s="58">
        <v>46459.12952888946</v>
      </c>
      <c r="S17" s="58">
        <v>23200.166452457615</v>
      </c>
      <c r="T17" s="58">
        <v>23731.72479550653</v>
      </c>
      <c r="U17" s="58">
        <v>19432.46487327268</v>
      </c>
      <c r="V17" s="58">
        <v>14606.045979631172</v>
      </c>
    </row>
    <row r="18" spans="1:22" ht="12.75">
      <c r="A18" s="5">
        <f t="shared" si="6"/>
        <v>11</v>
      </c>
      <c r="B18" t="s">
        <v>228</v>
      </c>
      <c r="D18" s="92">
        <v>0</v>
      </c>
      <c r="E18" s="92">
        <f t="shared" si="5"/>
        <v>21087</v>
      </c>
      <c r="F18" s="94">
        <v>21087</v>
      </c>
      <c r="G18" s="94"/>
      <c r="H18" s="94"/>
      <c r="I18" s="19"/>
      <c r="J18" s="3">
        <f t="shared" si="3"/>
        <v>21086.556</v>
      </c>
      <c r="K18" s="58">
        <v>1757213</v>
      </c>
      <c r="L18" s="58">
        <v>1757213</v>
      </c>
      <c r="M18" s="58">
        <v>1757213</v>
      </c>
      <c r="N18" s="58">
        <v>1757213</v>
      </c>
      <c r="O18" s="58">
        <v>1757213</v>
      </c>
      <c r="P18" s="58">
        <v>1757213</v>
      </c>
      <c r="Q18" s="58">
        <v>1757213</v>
      </c>
      <c r="R18" s="58">
        <v>1757213</v>
      </c>
      <c r="S18" s="58">
        <v>1757213</v>
      </c>
      <c r="T18" s="58">
        <v>1757213</v>
      </c>
      <c r="U18" s="58">
        <v>1757213</v>
      </c>
      <c r="V18" s="58">
        <v>1757213</v>
      </c>
    </row>
    <row r="19" spans="1:22" ht="12.75">
      <c r="A19" s="5">
        <f t="shared" si="6"/>
        <v>12</v>
      </c>
      <c r="B19" t="s">
        <v>227</v>
      </c>
      <c r="D19" s="92">
        <v>0</v>
      </c>
      <c r="E19" s="92">
        <f t="shared" si="5"/>
        <v>2557.666829205615</v>
      </c>
      <c r="F19" s="94">
        <f>('WGJ-4'!C33*2.04)/1000</f>
        <v>2557.666829205615</v>
      </c>
      <c r="G19" s="94"/>
      <c r="H19" s="94"/>
      <c r="I19" s="19"/>
      <c r="J19" s="3">
        <f t="shared" si="3"/>
        <v>2557.666829205615</v>
      </c>
      <c r="K19" s="58">
        <f>'WGJ-4'!D33*2.04</f>
        <v>251728.02288281254</v>
      </c>
      <c r="L19" s="58">
        <f>'WGJ-4'!E33*2.04</f>
        <v>241124.31487148436</v>
      </c>
      <c r="M19" s="58">
        <f>'WGJ-4'!F33*2.04</f>
        <v>196212.06053906248</v>
      </c>
      <c r="N19" s="58">
        <f>'WGJ-4'!G33*2.04</f>
        <v>64838.012969970696</v>
      </c>
      <c r="O19" s="58">
        <f>'WGJ-4'!H33*2.04</f>
        <v>41681.75306982422</v>
      </c>
      <c r="P19" s="58">
        <f>'WGJ-4'!I33*2.04</f>
        <v>42309.60483105469</v>
      </c>
      <c r="Q19" s="58">
        <f>'WGJ-4'!J33*2.04</f>
        <v>229879.36692656248</v>
      </c>
      <c r="R19" s="58">
        <f>'WGJ-4'!K33*2.04</f>
        <v>313983.87086250004</v>
      </c>
      <c r="S19" s="58">
        <f>'WGJ-4'!L33*2.04</f>
        <v>307134.007790625</v>
      </c>
      <c r="T19" s="58">
        <f>'WGJ-4'!M33*2.04</f>
        <v>252469.47176015622</v>
      </c>
      <c r="U19" s="58">
        <f>'WGJ-4'!N33*2.04</f>
        <v>301241.7542671875</v>
      </c>
      <c r="V19" s="58">
        <f>'WGJ-4'!O33*2.04</f>
        <v>315064.588434375</v>
      </c>
    </row>
    <row r="20" spans="1:22" ht="12.75">
      <c r="A20" s="5">
        <f t="shared" si="6"/>
        <v>13</v>
      </c>
      <c r="B20" t="s">
        <v>245</v>
      </c>
      <c r="D20" s="92">
        <v>0</v>
      </c>
      <c r="E20" s="92">
        <f t="shared" si="5"/>
        <v>735.893404608939</v>
      </c>
      <c r="F20" s="94">
        <f>('WGJ-4'!C33*0.035*8.24+'WGJ-4'!C33*0.035*8.53)/1000</f>
        <v>735.893404608939</v>
      </c>
      <c r="G20" s="94"/>
      <c r="H20" s="94"/>
      <c r="I20" s="19"/>
      <c r="J20" s="3">
        <f t="shared" si="3"/>
        <v>735.8934046089391</v>
      </c>
      <c r="K20" s="94">
        <f>('WGJ-4'!D33*0.035*8.24+'WGJ-4'!D33*0.035*8.53)</f>
        <v>72427.3348191504</v>
      </c>
      <c r="L20" s="94">
        <f>('WGJ-4'!E33*0.035*8.24+'WGJ-4'!E33*0.035*8.53)</f>
        <v>69376.42971265576</v>
      </c>
      <c r="M20" s="94">
        <f>('WGJ-4'!F33*0.035*8.24+'WGJ-4'!F33*0.035*8.53)</f>
        <v>56454.24947715821</v>
      </c>
      <c r="N20" s="94">
        <f>('WGJ-4'!G33*0.035*8.24+'WGJ-4'!G33*0.035*8.53)</f>
        <v>18655.2312317276</v>
      </c>
      <c r="O20" s="94">
        <f>('WGJ-4'!H33*0.035*8.24+'WGJ-4'!H33*0.035*8.53)</f>
        <v>11992.698511928102</v>
      </c>
      <c r="P20" s="94">
        <f>('WGJ-4'!I33*0.035*8.24+'WGJ-4'!I33*0.035*8.53)</f>
        <v>12173.3443899939</v>
      </c>
      <c r="Q20" s="94">
        <f>('WGJ-4'!J33*0.035*8.24+'WGJ-4'!J33*0.035*8.53)</f>
        <v>66141.02667526758</v>
      </c>
      <c r="R20" s="94">
        <f>('WGJ-4'!K33*0.035*8.24+'WGJ-4'!K33*0.035*8.53)</f>
        <v>90339.62402095314</v>
      </c>
      <c r="S20" s="94">
        <f>('WGJ-4'!L33*0.035*8.24+'WGJ-4'!L33*0.035*8.53)</f>
        <v>88368.77738858204</v>
      </c>
      <c r="T20" s="94">
        <f>('WGJ-4'!M33*0.035*8.24+'WGJ-4'!M33*0.035*8.53)</f>
        <v>72640.66492628613</v>
      </c>
      <c r="U20" s="94">
        <f>('WGJ-4'!N33*0.035*8.24+'WGJ-4'!N33*0.035*8.53)</f>
        <v>86673.45473878713</v>
      </c>
      <c r="V20" s="94">
        <f>('WGJ-4'!O33*0.035*8.24+'WGJ-4'!O33*0.035*8.53)</f>
        <v>90650.56871644923</v>
      </c>
    </row>
    <row r="21" spans="1:22" ht="12.75">
      <c r="A21" s="5">
        <f t="shared" si="6"/>
        <v>14</v>
      </c>
      <c r="B21" t="s">
        <v>7</v>
      </c>
      <c r="D21" s="92">
        <v>14078</v>
      </c>
      <c r="E21" s="19">
        <f t="shared" si="5"/>
        <v>273</v>
      </c>
      <c r="F21" s="92">
        <v>14351</v>
      </c>
      <c r="G21" s="19" t="s">
        <v>209</v>
      </c>
      <c r="H21" s="19">
        <v>-2690</v>
      </c>
      <c r="I21" s="99" t="s">
        <v>210</v>
      </c>
      <c r="J21" s="3">
        <f t="shared" si="3"/>
        <v>14351.3700340388</v>
      </c>
      <c r="K21" s="59">
        <v>2941976.629294009</v>
      </c>
      <c r="L21" s="59">
        <v>2647193.3041291814</v>
      </c>
      <c r="M21" s="59">
        <v>1451344.2271670636</v>
      </c>
      <c r="N21" s="59">
        <v>1405833.390955772</v>
      </c>
      <c r="O21" s="59"/>
      <c r="P21" s="59"/>
      <c r="Q21" s="59"/>
      <c r="R21" s="59"/>
      <c r="S21" s="59"/>
      <c r="T21" s="59"/>
      <c r="U21" s="59">
        <v>2905423.345644561</v>
      </c>
      <c r="V21" s="59">
        <v>2999599.1368482127</v>
      </c>
    </row>
    <row r="22" spans="1:22" ht="12.75">
      <c r="A22" s="5">
        <f t="shared" si="6"/>
        <v>15</v>
      </c>
      <c r="B22" t="s">
        <v>8</v>
      </c>
      <c r="D22" s="92">
        <v>7</v>
      </c>
      <c r="E22" s="19">
        <f t="shared" si="5"/>
        <v>0</v>
      </c>
      <c r="F22" s="19">
        <v>7</v>
      </c>
      <c r="G22" s="19"/>
      <c r="H22" s="19">
        <v>6679.5</v>
      </c>
      <c r="I22" s="19"/>
      <c r="J22" s="3">
        <f t="shared" si="3"/>
        <v>6.999999999999999</v>
      </c>
      <c r="K22" s="58">
        <f aca="true" t="shared" si="7" ref="K22:V22">$F22/12*1000</f>
        <v>583.3333333333334</v>
      </c>
      <c r="L22" s="58">
        <f t="shared" si="7"/>
        <v>583.3333333333334</v>
      </c>
      <c r="M22" s="58">
        <f t="shared" si="7"/>
        <v>583.3333333333334</v>
      </c>
      <c r="N22" s="58">
        <f t="shared" si="7"/>
        <v>583.3333333333334</v>
      </c>
      <c r="O22" s="58">
        <f t="shared" si="7"/>
        <v>583.3333333333334</v>
      </c>
      <c r="P22" s="58">
        <f t="shared" si="7"/>
        <v>583.3333333333334</v>
      </c>
      <c r="Q22" s="58">
        <f t="shared" si="7"/>
        <v>583.3333333333334</v>
      </c>
      <c r="R22" s="58">
        <f t="shared" si="7"/>
        <v>583.3333333333334</v>
      </c>
      <c r="S22" s="58">
        <f t="shared" si="7"/>
        <v>583.3333333333334</v>
      </c>
      <c r="T22" s="58">
        <f t="shared" si="7"/>
        <v>583.3333333333334</v>
      </c>
      <c r="U22" s="58">
        <f t="shared" si="7"/>
        <v>583.3333333333334</v>
      </c>
      <c r="V22" s="58">
        <f t="shared" si="7"/>
        <v>583.3333333333334</v>
      </c>
    </row>
    <row r="23" spans="1:22" ht="12.75">
      <c r="A23" s="5">
        <f t="shared" si="6"/>
        <v>16</v>
      </c>
      <c r="B23" t="s">
        <v>151</v>
      </c>
      <c r="D23" s="92">
        <v>904</v>
      </c>
      <c r="E23" s="19">
        <f t="shared" si="5"/>
        <v>115</v>
      </c>
      <c r="F23" s="94">
        <v>1019</v>
      </c>
      <c r="G23" s="19" t="s">
        <v>209</v>
      </c>
      <c r="H23" s="94">
        <v>6132</v>
      </c>
      <c r="I23" s="19"/>
      <c r="J23" s="3">
        <f t="shared" si="3"/>
        <v>1019.4072705281005</v>
      </c>
      <c r="K23" s="58">
        <v>76314.00778457195</v>
      </c>
      <c r="L23" s="58">
        <v>86552.08639432909</v>
      </c>
      <c r="M23" s="58">
        <v>129352.18528455941</v>
      </c>
      <c r="N23" s="58">
        <v>147954.0066046047</v>
      </c>
      <c r="O23" s="58">
        <v>149733.60981149197</v>
      </c>
      <c r="P23" s="58">
        <v>135333.76795921326</v>
      </c>
      <c r="Q23" s="58">
        <v>83836.98799694062</v>
      </c>
      <c r="R23" s="58">
        <v>37984.7893165122</v>
      </c>
      <c r="S23" s="58">
        <v>29629.745164871216</v>
      </c>
      <c r="T23" s="58">
        <v>37508.10547742844</v>
      </c>
      <c r="U23" s="58">
        <v>50917.97705221176</v>
      </c>
      <c r="V23" s="58">
        <v>54290.00168136597</v>
      </c>
    </row>
    <row r="24" spans="1:22" ht="12.75">
      <c r="A24" s="5">
        <f t="shared" si="6"/>
        <v>17</v>
      </c>
      <c r="B24" t="s">
        <v>178</v>
      </c>
      <c r="D24" s="92">
        <v>1865</v>
      </c>
      <c r="E24" s="19">
        <f t="shared" si="5"/>
        <v>514</v>
      </c>
      <c r="F24" s="92">
        <v>2379</v>
      </c>
      <c r="G24" s="19" t="s">
        <v>209</v>
      </c>
      <c r="H24" s="92">
        <v>6132</v>
      </c>
      <c r="I24" s="99" t="s">
        <v>142</v>
      </c>
      <c r="J24" s="3">
        <f t="shared" si="3"/>
        <v>2379</v>
      </c>
      <c r="K24" s="58">
        <f>$F24/12*1000</f>
        <v>198250</v>
      </c>
      <c r="L24" s="58">
        <f aca="true" t="shared" si="8" ref="L24:V24">$F24/12*1000</f>
        <v>198250</v>
      </c>
      <c r="M24" s="58">
        <f t="shared" si="8"/>
        <v>198250</v>
      </c>
      <c r="N24" s="58">
        <f t="shared" si="8"/>
        <v>198250</v>
      </c>
      <c r="O24" s="58">
        <f t="shared" si="8"/>
        <v>198250</v>
      </c>
      <c r="P24" s="58">
        <f t="shared" si="8"/>
        <v>198250</v>
      </c>
      <c r="Q24" s="58">
        <f t="shared" si="8"/>
        <v>198250</v>
      </c>
      <c r="R24" s="58">
        <f t="shared" si="8"/>
        <v>198250</v>
      </c>
      <c r="S24" s="58">
        <f t="shared" si="8"/>
        <v>198250</v>
      </c>
      <c r="T24" s="58">
        <f t="shared" si="8"/>
        <v>198250</v>
      </c>
      <c r="U24" s="58">
        <f t="shared" si="8"/>
        <v>198250</v>
      </c>
      <c r="V24" s="58">
        <f t="shared" si="8"/>
        <v>198250</v>
      </c>
    </row>
    <row r="25" spans="1:22" ht="12.75">
      <c r="A25" s="5">
        <f t="shared" si="6"/>
        <v>18</v>
      </c>
      <c r="B25" t="s">
        <v>9</v>
      </c>
      <c r="D25" s="92">
        <v>1792</v>
      </c>
      <c r="E25" s="19">
        <f t="shared" si="5"/>
        <v>211</v>
      </c>
      <c r="F25" s="92">
        <v>2003</v>
      </c>
      <c r="G25" s="19" t="s">
        <v>209</v>
      </c>
      <c r="H25" s="19">
        <v>6953.25</v>
      </c>
      <c r="I25" s="19"/>
      <c r="J25" s="3">
        <f t="shared" si="3"/>
        <v>2003</v>
      </c>
      <c r="K25" s="58">
        <f>$F25*0.11*1000</f>
        <v>220330</v>
      </c>
      <c r="L25" s="58">
        <f>$F25*0.1*1000</f>
        <v>200300</v>
      </c>
      <c r="M25" s="58">
        <f>$F25*0.1*1000</f>
        <v>200300</v>
      </c>
      <c r="N25" s="58">
        <f>$F25*0.12*1000</f>
        <v>240359.99999999997</v>
      </c>
      <c r="O25" s="58">
        <f>$F25*0.12*1000</f>
        <v>240359.99999999997</v>
      </c>
      <c r="P25" s="58">
        <f>$F25*0.12*1000</f>
        <v>240359.99999999997</v>
      </c>
      <c r="Q25" s="58">
        <f>$F25*0.07*1000</f>
        <v>140210</v>
      </c>
      <c r="R25" s="58">
        <f>$F25*0*1000</f>
        <v>0</v>
      </c>
      <c r="S25" s="58">
        <f>$F25*0.02*1000</f>
        <v>40060</v>
      </c>
      <c r="T25" s="58">
        <f>$F25*0.04*1000</f>
        <v>80120</v>
      </c>
      <c r="U25" s="58">
        <f>$F25*0.08*1000</f>
        <v>160240</v>
      </c>
      <c r="V25" s="58">
        <f>$F25*0.12*1000</f>
        <v>240359.99999999997</v>
      </c>
    </row>
    <row r="26" spans="1:22" ht="12.75">
      <c r="A26" s="5">
        <f t="shared" si="6"/>
        <v>19</v>
      </c>
      <c r="B26" t="s">
        <v>166</v>
      </c>
      <c r="D26" s="92">
        <v>1511</v>
      </c>
      <c r="E26" s="19">
        <f t="shared" si="5"/>
        <v>-1511</v>
      </c>
      <c r="F26" s="19">
        <v>0</v>
      </c>
      <c r="G26" s="19"/>
      <c r="H26" s="19">
        <v>0</v>
      </c>
      <c r="I26" s="97" t="s">
        <v>141</v>
      </c>
      <c r="J26" s="3">
        <f t="shared" si="3"/>
        <v>0</v>
      </c>
      <c r="K26" s="58">
        <f>$F26/12*1000</f>
        <v>0</v>
      </c>
      <c r="L26" s="58">
        <f aca="true" t="shared" si="9" ref="L26:V27">$F26/12*1000</f>
        <v>0</v>
      </c>
      <c r="M26" s="58">
        <f t="shared" si="9"/>
        <v>0</v>
      </c>
      <c r="N26" s="58">
        <f t="shared" si="9"/>
        <v>0</v>
      </c>
      <c r="O26" s="58">
        <f t="shared" si="9"/>
        <v>0</v>
      </c>
      <c r="P26" s="58">
        <f t="shared" si="9"/>
        <v>0</v>
      </c>
      <c r="Q26" s="58">
        <f t="shared" si="9"/>
        <v>0</v>
      </c>
      <c r="R26" s="58">
        <f t="shared" si="9"/>
        <v>0</v>
      </c>
      <c r="S26" s="58">
        <f t="shared" si="9"/>
        <v>0</v>
      </c>
      <c r="T26" s="58">
        <f t="shared" si="9"/>
        <v>0</v>
      </c>
      <c r="U26" s="58">
        <f t="shared" si="9"/>
        <v>0</v>
      </c>
      <c r="V26" s="58">
        <f t="shared" si="9"/>
        <v>0</v>
      </c>
    </row>
    <row r="27" spans="1:22" ht="12.75">
      <c r="A27" s="5">
        <f t="shared" si="6"/>
        <v>20</v>
      </c>
      <c r="B27" t="s">
        <v>167</v>
      </c>
      <c r="D27" s="92">
        <v>1535</v>
      </c>
      <c r="E27" s="19">
        <f t="shared" si="5"/>
        <v>-1535</v>
      </c>
      <c r="F27" s="19">
        <v>0</v>
      </c>
      <c r="G27" s="19"/>
      <c r="H27" s="19"/>
      <c r="I27" s="97"/>
      <c r="J27" s="3">
        <f t="shared" si="3"/>
        <v>0</v>
      </c>
      <c r="K27" s="58">
        <f>$F27/12*1000</f>
        <v>0</v>
      </c>
      <c r="L27" s="58">
        <f t="shared" si="9"/>
        <v>0</v>
      </c>
      <c r="M27" s="58">
        <f t="shared" si="9"/>
        <v>0</v>
      </c>
      <c r="N27" s="58">
        <f t="shared" si="9"/>
        <v>0</v>
      </c>
      <c r="O27" s="58">
        <f t="shared" si="9"/>
        <v>0</v>
      </c>
      <c r="P27" s="58">
        <f t="shared" si="9"/>
        <v>0</v>
      </c>
      <c r="Q27" s="58">
        <f t="shared" si="9"/>
        <v>0</v>
      </c>
      <c r="R27" s="58">
        <f t="shared" si="9"/>
        <v>0</v>
      </c>
      <c r="S27" s="58">
        <f t="shared" si="9"/>
        <v>0</v>
      </c>
      <c r="T27" s="58">
        <f t="shared" si="9"/>
        <v>0</v>
      </c>
      <c r="U27" s="58">
        <f t="shared" si="9"/>
        <v>0</v>
      </c>
      <c r="V27" s="58">
        <f t="shared" si="9"/>
        <v>0</v>
      </c>
    </row>
    <row r="28" spans="1:22" ht="12.75">
      <c r="A28" s="5">
        <f t="shared" si="6"/>
        <v>21</v>
      </c>
      <c r="B28" t="s">
        <v>32</v>
      </c>
      <c r="D28" s="92">
        <v>139</v>
      </c>
      <c r="E28" s="19">
        <f aca="true" t="shared" si="10" ref="E28:E40">F28-D28</f>
        <v>9.431473342285159</v>
      </c>
      <c r="F28" s="92">
        <f>Index!C19/1000</f>
        <v>148.43147334228516</v>
      </c>
      <c r="G28" s="19" t="s">
        <v>209</v>
      </c>
      <c r="H28" s="92">
        <v>4</v>
      </c>
      <c r="I28" s="97" t="s">
        <v>138</v>
      </c>
      <c r="J28" s="3">
        <f t="shared" si="3"/>
        <v>148.43147334228516</v>
      </c>
      <c r="K28" s="58"/>
      <c r="L28" s="58"/>
      <c r="M28" s="58"/>
      <c r="N28" s="58"/>
      <c r="O28" s="58"/>
      <c r="P28" s="58"/>
      <c r="Q28" s="58"/>
      <c r="R28" s="58"/>
      <c r="S28" s="58"/>
      <c r="T28" s="58">
        <f>F28*1000</f>
        <v>148431.47334228517</v>
      </c>
      <c r="U28" s="58"/>
      <c r="V28" s="58"/>
    </row>
    <row r="29" spans="1:22" ht="12.75">
      <c r="A29" s="5">
        <f t="shared" si="6"/>
        <v>22</v>
      </c>
      <c r="B29" t="s">
        <v>57</v>
      </c>
      <c r="D29" s="92">
        <v>-142</v>
      </c>
      <c r="E29" s="19">
        <f t="shared" si="10"/>
        <v>142</v>
      </c>
      <c r="F29" s="19">
        <v>0</v>
      </c>
      <c r="G29" s="19"/>
      <c r="H29" s="19">
        <v>921</v>
      </c>
      <c r="I29" s="97" t="s">
        <v>127</v>
      </c>
      <c r="J29" s="3">
        <f t="shared" si="3"/>
        <v>0</v>
      </c>
      <c r="K29" s="58">
        <f aca="true" t="shared" si="11" ref="K29:V29">$F29/12</f>
        <v>0</v>
      </c>
      <c r="L29" s="58">
        <f t="shared" si="11"/>
        <v>0</v>
      </c>
      <c r="M29" s="58">
        <f t="shared" si="11"/>
        <v>0</v>
      </c>
      <c r="N29" s="58">
        <f t="shared" si="11"/>
        <v>0</v>
      </c>
      <c r="O29" s="58">
        <f t="shared" si="11"/>
        <v>0</v>
      </c>
      <c r="P29" s="58">
        <f t="shared" si="11"/>
        <v>0</v>
      </c>
      <c r="Q29" s="58">
        <f t="shared" si="11"/>
        <v>0</v>
      </c>
      <c r="R29" s="58">
        <f t="shared" si="11"/>
        <v>0</v>
      </c>
      <c r="S29" s="58">
        <f t="shared" si="11"/>
        <v>0</v>
      </c>
      <c r="T29" s="58">
        <f t="shared" si="11"/>
        <v>0</v>
      </c>
      <c r="U29" s="58">
        <f t="shared" si="11"/>
        <v>0</v>
      </c>
      <c r="V29" s="58">
        <f t="shared" si="11"/>
        <v>0</v>
      </c>
    </row>
    <row r="30" spans="1:22" ht="12.75">
      <c r="A30" s="5">
        <f t="shared" si="6"/>
        <v>23</v>
      </c>
      <c r="B30" t="s">
        <v>149</v>
      </c>
      <c r="D30" s="92">
        <v>6789</v>
      </c>
      <c r="E30" s="19">
        <f t="shared" si="10"/>
        <v>-6789</v>
      </c>
      <c r="F30" s="19">
        <v>0</v>
      </c>
      <c r="G30" s="23">
        <f aca="true" t="shared" si="12" ref="G30:G35">F30/25/8760*1000</f>
        <v>0</v>
      </c>
      <c r="H30" s="19">
        <v>1589</v>
      </c>
      <c r="I30" s="19"/>
      <c r="J30" s="3">
        <f t="shared" si="3"/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</row>
    <row r="31" spans="1:22" ht="12.75">
      <c r="A31" s="5">
        <f t="shared" si="6"/>
        <v>24</v>
      </c>
      <c r="B31" t="s">
        <v>150</v>
      </c>
      <c r="D31" s="92">
        <v>6745</v>
      </c>
      <c r="E31" s="19">
        <f t="shared" si="10"/>
        <v>-6745</v>
      </c>
      <c r="F31" s="19">
        <v>0</v>
      </c>
      <c r="G31" s="23">
        <f t="shared" si="12"/>
        <v>0</v>
      </c>
      <c r="H31" s="19"/>
      <c r="I31" s="19"/>
      <c r="J31" s="3">
        <f t="shared" si="3"/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</row>
    <row r="32" spans="1:22" ht="12.75">
      <c r="A32" s="5">
        <f t="shared" si="6"/>
        <v>25</v>
      </c>
      <c r="B32" t="s">
        <v>131</v>
      </c>
      <c r="D32" s="92">
        <v>6657</v>
      </c>
      <c r="E32" s="19">
        <f t="shared" si="10"/>
        <v>-6657</v>
      </c>
      <c r="F32" s="19">
        <v>0</v>
      </c>
      <c r="G32" s="23">
        <f t="shared" si="12"/>
        <v>0</v>
      </c>
      <c r="H32" s="19">
        <v>2003</v>
      </c>
      <c r="I32" s="19"/>
      <c r="J32" s="3">
        <f t="shared" si="3"/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</row>
    <row r="33" spans="1:22" ht="12.75">
      <c r="A33" s="5">
        <f t="shared" si="6"/>
        <v>26</v>
      </c>
      <c r="B33" t="s">
        <v>132</v>
      </c>
      <c r="D33" s="92">
        <v>7556</v>
      </c>
      <c r="E33" s="19">
        <f t="shared" si="10"/>
        <v>-7556</v>
      </c>
      <c r="F33" s="19">
        <v>0</v>
      </c>
      <c r="G33" s="23">
        <f t="shared" si="12"/>
        <v>0</v>
      </c>
      <c r="H33" s="19">
        <v>0</v>
      </c>
      <c r="I33" s="19"/>
      <c r="J33" s="3">
        <f t="shared" si="3"/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</row>
    <row r="34" spans="1:22" ht="12.75">
      <c r="A34" s="5">
        <f t="shared" si="6"/>
        <v>27</v>
      </c>
      <c r="B34" t="s">
        <v>203</v>
      </c>
      <c r="D34" s="92">
        <v>1661</v>
      </c>
      <c r="E34" s="19">
        <f t="shared" si="10"/>
        <v>-1661</v>
      </c>
      <c r="F34" s="19">
        <v>0</v>
      </c>
      <c r="G34" s="19">
        <f t="shared" si="12"/>
        <v>0</v>
      </c>
      <c r="H34" s="19"/>
      <c r="I34" s="19"/>
      <c r="J34" s="3">
        <f t="shared" si="3"/>
        <v>0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12.75">
      <c r="A35" s="5">
        <f t="shared" si="6"/>
        <v>28</v>
      </c>
      <c r="B35" t="s">
        <v>168</v>
      </c>
      <c r="D35" s="92">
        <v>1101</v>
      </c>
      <c r="E35" s="19">
        <f t="shared" si="10"/>
        <v>-1101</v>
      </c>
      <c r="F35" s="19">
        <v>0</v>
      </c>
      <c r="G35" s="19">
        <f t="shared" si="12"/>
        <v>0</v>
      </c>
      <c r="H35" s="19"/>
      <c r="I35" s="19"/>
      <c r="J35" s="3">
        <f t="shared" si="3"/>
        <v>0</v>
      </c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1:22" ht="12.75">
      <c r="A36" s="5">
        <f t="shared" si="6"/>
        <v>29</v>
      </c>
      <c r="B36" t="s">
        <v>239</v>
      </c>
      <c r="D36" s="92">
        <v>19413</v>
      </c>
      <c r="E36" s="19">
        <f t="shared" si="10"/>
        <v>-19413</v>
      </c>
      <c r="F36" s="19">
        <v>0</v>
      </c>
      <c r="G36" s="19"/>
      <c r="H36" s="19">
        <v>441.6874758376757</v>
      </c>
      <c r="I36" s="19"/>
      <c r="J36" s="3">
        <f t="shared" si="3"/>
        <v>0</v>
      </c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</row>
    <row r="37" spans="1:22" ht="12.75">
      <c r="A37" s="5">
        <f t="shared" si="6"/>
        <v>30</v>
      </c>
      <c r="B37" t="s">
        <v>204</v>
      </c>
      <c r="D37" s="92">
        <v>622</v>
      </c>
      <c r="E37" s="19">
        <f t="shared" si="10"/>
        <v>0</v>
      </c>
      <c r="F37" s="19">
        <v>622</v>
      </c>
      <c r="G37" s="19"/>
      <c r="H37" s="19"/>
      <c r="I37" s="19"/>
      <c r="J37" s="3">
        <f t="shared" si="3"/>
        <v>622.2</v>
      </c>
      <c r="K37" s="58">
        <v>0</v>
      </c>
      <c r="L37" s="58">
        <v>0</v>
      </c>
      <c r="M37" s="58">
        <v>0</v>
      </c>
      <c r="N37" s="58">
        <v>0</v>
      </c>
      <c r="O37" s="58">
        <v>316200</v>
      </c>
      <c r="P37" s="58">
        <v>306000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</row>
    <row r="38" spans="1:22" ht="12.75">
      <c r="A38" s="5">
        <f t="shared" si="6"/>
        <v>31</v>
      </c>
      <c r="B38" t="s">
        <v>172</v>
      </c>
      <c r="D38" s="92">
        <v>686</v>
      </c>
      <c r="E38" s="19">
        <f t="shared" si="10"/>
        <v>-686</v>
      </c>
      <c r="F38" s="19">
        <v>0</v>
      </c>
      <c r="G38" s="19"/>
      <c r="H38" s="19"/>
      <c r="I38" s="19"/>
      <c r="J38" s="3">
        <f t="shared" si="3"/>
        <v>0</v>
      </c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22" ht="12.75">
      <c r="A39" s="5">
        <f t="shared" si="6"/>
        <v>32</v>
      </c>
      <c r="B39" s="17" t="s">
        <v>216</v>
      </c>
      <c r="C39" s="17"/>
      <c r="D39" s="93">
        <v>2846</v>
      </c>
      <c r="E39" s="41">
        <f t="shared" si="10"/>
        <v>706</v>
      </c>
      <c r="F39" s="93">
        <v>3552</v>
      </c>
      <c r="G39" s="92" t="s">
        <v>205</v>
      </c>
      <c r="H39" s="92">
        <v>0</v>
      </c>
      <c r="I39" s="19" t="s">
        <v>137</v>
      </c>
      <c r="J39" s="88">
        <f t="shared" si="3"/>
        <v>3551.969856692153</v>
      </c>
      <c r="K39" s="80">
        <v>354105.0679851232</v>
      </c>
      <c r="L39" s="80">
        <v>233912.51076049815</v>
      </c>
      <c r="M39" s="80">
        <v>372007.67734070396</v>
      </c>
      <c r="N39" s="80">
        <v>321996.67811548733</v>
      </c>
      <c r="O39" s="80">
        <v>305546.7623644189</v>
      </c>
      <c r="P39" s="80">
        <v>346158.29786002444</v>
      </c>
      <c r="Q39" s="80">
        <v>281932.6227972833</v>
      </c>
      <c r="R39" s="80">
        <v>305192.7483357991</v>
      </c>
      <c r="S39" s="80">
        <v>238446.17643543155</v>
      </c>
      <c r="T39" s="80">
        <v>241424.58561933003</v>
      </c>
      <c r="U39" s="80">
        <v>303389.81056107616</v>
      </c>
      <c r="V39" s="80">
        <v>247856.91851697688</v>
      </c>
    </row>
    <row r="40" spans="1:22" ht="12.75">
      <c r="A40" s="5">
        <f t="shared" si="6"/>
        <v>33</v>
      </c>
      <c r="B40" t="s">
        <v>10</v>
      </c>
      <c r="D40" s="92">
        <f>SUM(D8:D39)</f>
        <v>303786</v>
      </c>
      <c r="E40" s="19">
        <f t="shared" si="10"/>
        <v>-200735.1958495393</v>
      </c>
      <c r="F40" s="19">
        <f>SUM(F8:F39)</f>
        <v>103050.80415046071</v>
      </c>
      <c r="G40" s="19"/>
      <c r="H40" s="19">
        <v>0</v>
      </c>
      <c r="I40" s="19"/>
      <c r="J40" s="3">
        <f t="shared" si="3"/>
        <v>103051.91346891847</v>
      </c>
      <c r="K40" s="27">
        <f>SUM(K8:K39)</f>
        <v>12917498.142057229</v>
      </c>
      <c r="L40" s="27">
        <f aca="true" t="shared" si="13" ref="L40:V40">SUM(L8:L39)</f>
        <v>10440596.19443156</v>
      </c>
      <c r="M40" s="27">
        <f t="shared" si="13"/>
        <v>10925524.995729735</v>
      </c>
      <c r="N40" s="27">
        <f t="shared" si="13"/>
        <v>7783758.021181257</v>
      </c>
      <c r="O40" s="27">
        <f t="shared" si="13"/>
        <v>5650996.976777959</v>
      </c>
      <c r="P40" s="27">
        <f t="shared" si="13"/>
        <v>5726076.275696405</v>
      </c>
      <c r="Q40" s="27">
        <f t="shared" si="13"/>
        <v>6233429.118058632</v>
      </c>
      <c r="R40" s="27">
        <f t="shared" si="13"/>
        <v>7987213.80405304</v>
      </c>
      <c r="S40" s="27">
        <f t="shared" si="13"/>
        <v>6580019.486133595</v>
      </c>
      <c r="T40" s="27">
        <f t="shared" si="13"/>
        <v>8648954.06666709</v>
      </c>
      <c r="U40" s="27">
        <f t="shared" si="13"/>
        <v>11064569.804443857</v>
      </c>
      <c r="V40" s="27">
        <f t="shared" si="13"/>
        <v>9093276.583688127</v>
      </c>
    </row>
    <row r="41" spans="1:10" ht="12.75">
      <c r="A41" s="5"/>
      <c r="E41" s="19"/>
      <c r="F41" s="19"/>
      <c r="G41" s="19"/>
      <c r="H41" s="41">
        <v>3186</v>
      </c>
      <c r="I41" s="19"/>
      <c r="J41" s="3"/>
    </row>
    <row r="42" spans="1:10" ht="12.75">
      <c r="A42" s="5"/>
      <c r="B42" s="7" t="s">
        <v>30</v>
      </c>
      <c r="D42" s="19"/>
      <c r="E42" s="19"/>
      <c r="F42" s="19"/>
      <c r="G42" s="19"/>
      <c r="H42" s="19">
        <v>0</v>
      </c>
      <c r="I42" s="19"/>
      <c r="J42" s="3"/>
    </row>
    <row r="43" spans="1:22" ht="12.75">
      <c r="A43" s="5">
        <f>A40+1</f>
        <v>34</v>
      </c>
      <c r="B43" t="s">
        <v>15</v>
      </c>
      <c r="D43" s="92">
        <v>124</v>
      </c>
      <c r="E43" s="92">
        <f>F43-D43</f>
        <v>0</v>
      </c>
      <c r="F43" s="92">
        <v>124</v>
      </c>
      <c r="G43" s="92"/>
      <c r="H43" s="93">
        <v>150</v>
      </c>
      <c r="I43" s="19"/>
      <c r="J43" s="3">
        <f>SUM(K43:V43)/1000</f>
        <v>123.99999999999999</v>
      </c>
      <c r="K43" s="58">
        <f>$F43/12*1000</f>
        <v>10333.333333333334</v>
      </c>
      <c r="L43" s="58">
        <f aca="true" t="shared" si="14" ref="L43:V43">$F43/12*1000</f>
        <v>10333.333333333334</v>
      </c>
      <c r="M43" s="58">
        <f t="shared" si="14"/>
        <v>10333.333333333334</v>
      </c>
      <c r="N43" s="58">
        <f t="shared" si="14"/>
        <v>10333.333333333334</v>
      </c>
      <c r="O43" s="58">
        <f t="shared" si="14"/>
        <v>10333.333333333334</v>
      </c>
      <c r="P43" s="58">
        <f t="shared" si="14"/>
        <v>10333.333333333334</v>
      </c>
      <c r="Q43" s="58">
        <f t="shared" si="14"/>
        <v>10333.333333333334</v>
      </c>
      <c r="R43" s="58">
        <f t="shared" si="14"/>
        <v>10333.333333333334</v>
      </c>
      <c r="S43" s="58">
        <f t="shared" si="14"/>
        <v>10333.333333333334</v>
      </c>
      <c r="T43" s="58">
        <f t="shared" si="14"/>
        <v>10333.333333333334</v>
      </c>
      <c r="U43" s="58">
        <f t="shared" si="14"/>
        <v>10333.333333333334</v>
      </c>
      <c r="V43" s="58">
        <f t="shared" si="14"/>
        <v>10333.333333333334</v>
      </c>
    </row>
    <row r="44" spans="1:22" ht="12.75">
      <c r="A44" s="5">
        <f>A43+1</f>
        <v>35</v>
      </c>
      <c r="B44" t="s">
        <v>173</v>
      </c>
      <c r="D44" s="92">
        <v>350</v>
      </c>
      <c r="E44" s="92">
        <f>F44-D44</f>
        <v>0</v>
      </c>
      <c r="F44" s="92">
        <v>350</v>
      </c>
      <c r="G44" s="92"/>
      <c r="H44" s="92"/>
      <c r="I44" s="19"/>
      <c r="J44" s="3">
        <f>SUM(K44:V44)/1000</f>
        <v>350.4</v>
      </c>
      <c r="K44" s="58">
        <f>40*K4</f>
        <v>29760</v>
      </c>
      <c r="L44" s="58">
        <f aca="true" t="shared" si="15" ref="L44:V44">40*L4</f>
        <v>26880</v>
      </c>
      <c r="M44" s="58">
        <f t="shared" si="15"/>
        <v>29760</v>
      </c>
      <c r="N44" s="58">
        <f t="shared" si="15"/>
        <v>28760</v>
      </c>
      <c r="O44" s="58">
        <f t="shared" si="15"/>
        <v>29760</v>
      </c>
      <c r="P44" s="58">
        <f t="shared" si="15"/>
        <v>28800</v>
      </c>
      <c r="Q44" s="58">
        <f t="shared" si="15"/>
        <v>29760</v>
      </c>
      <c r="R44" s="58">
        <f t="shared" si="15"/>
        <v>29760</v>
      </c>
      <c r="S44" s="58">
        <f t="shared" si="15"/>
        <v>28800</v>
      </c>
      <c r="T44" s="58">
        <f t="shared" si="15"/>
        <v>29800</v>
      </c>
      <c r="U44" s="58">
        <f t="shared" si="15"/>
        <v>28800</v>
      </c>
      <c r="V44" s="58">
        <f t="shared" si="15"/>
        <v>29760</v>
      </c>
    </row>
    <row r="45" spans="1:10" ht="12.75">
      <c r="A45" s="5">
        <f>A44+1</f>
        <v>36</v>
      </c>
      <c r="B45" s="17" t="s">
        <v>199</v>
      </c>
      <c r="C45" s="17"/>
      <c r="D45" s="19">
        <v>32480</v>
      </c>
      <c r="E45" s="41">
        <f>F45-D45</f>
        <v>-32480</v>
      </c>
      <c r="F45" s="19">
        <v>0</v>
      </c>
      <c r="G45" s="19"/>
      <c r="H45" s="19">
        <v>152</v>
      </c>
      <c r="I45" s="97" t="s">
        <v>140</v>
      </c>
      <c r="J45" s="3">
        <f>SUM(K45:V45)/1000</f>
        <v>0</v>
      </c>
    </row>
    <row r="46" spans="1:10" ht="12.75">
      <c r="A46" s="5">
        <f>A45+1</f>
        <v>37</v>
      </c>
      <c r="B46" t="s">
        <v>16</v>
      </c>
      <c r="D46" s="108">
        <f>SUM(D43:D45)</f>
        <v>32954</v>
      </c>
      <c r="E46" s="19">
        <f>F46-D46</f>
        <v>-32480</v>
      </c>
      <c r="F46" s="21">
        <f>SUM(F43:F45)</f>
        <v>474</v>
      </c>
      <c r="G46" s="19"/>
      <c r="H46" s="19"/>
      <c r="I46" s="19"/>
      <c r="J46" s="3"/>
    </row>
    <row r="47" spans="1:10" ht="12.75">
      <c r="A47" s="5"/>
      <c r="D47" s="19"/>
      <c r="E47" s="19"/>
      <c r="F47" s="19"/>
      <c r="G47" s="19"/>
      <c r="H47" s="19"/>
      <c r="I47" s="19"/>
      <c r="J47" s="3"/>
    </row>
    <row r="48" spans="1:10" ht="12.75">
      <c r="A48" s="5"/>
      <c r="B48" s="7" t="s">
        <v>54</v>
      </c>
      <c r="D48" s="19"/>
      <c r="E48" s="19"/>
      <c r="F48" s="19"/>
      <c r="G48" s="19"/>
      <c r="H48" s="19">
        <v>78</v>
      </c>
      <c r="I48" s="19"/>
      <c r="J48" s="3"/>
    </row>
    <row r="49" spans="1:22" ht="12.75">
      <c r="A49" s="5">
        <f>A46+1</f>
        <v>38</v>
      </c>
      <c r="B49" t="s">
        <v>51</v>
      </c>
      <c r="C49" s="13"/>
      <c r="D49" s="19">
        <v>7450</v>
      </c>
      <c r="E49" s="19">
        <f>F49-D49</f>
        <v>2976.151729125977</v>
      </c>
      <c r="F49" s="92">
        <f>'WGJ-4'!C27/1000</f>
        <v>10426.151729125977</v>
      </c>
      <c r="G49" s="92"/>
      <c r="H49" s="93">
        <v>0</v>
      </c>
      <c r="I49" s="97" t="s">
        <v>139</v>
      </c>
      <c r="J49" s="3">
        <f>SUM(K49:V49)/1000</f>
        <v>10426.151729125977</v>
      </c>
      <c r="K49" s="27">
        <f>'WGJ-4'!D27</f>
        <v>1209280.0134277344</v>
      </c>
      <c r="L49" s="27">
        <f>'WGJ-4'!E27</f>
        <v>1101680.0537109375</v>
      </c>
      <c r="M49" s="27">
        <f>'WGJ-4'!F27</f>
        <v>1201676.1529541016</v>
      </c>
      <c r="N49" s="27">
        <f>'WGJ-4'!G27</f>
        <v>0</v>
      </c>
      <c r="O49" s="27">
        <f>'WGJ-4'!H27</f>
        <v>0</v>
      </c>
      <c r="P49" s="27">
        <f>'WGJ-4'!I27</f>
        <v>0</v>
      </c>
      <c r="Q49" s="27">
        <f>'WGJ-4'!J27</f>
        <v>988378.8635253906</v>
      </c>
      <c r="R49" s="27">
        <f>'WGJ-4'!K27</f>
        <v>1201204.9438476562</v>
      </c>
      <c r="S49" s="27">
        <f>'WGJ-4'!L27</f>
        <v>1134647.0947265625</v>
      </c>
      <c r="T49" s="27">
        <f>'WGJ-4'!M27</f>
        <v>1201776.0009765625</v>
      </c>
      <c r="U49" s="27">
        <f>'WGJ-4'!N27</f>
        <v>1170902.2216796875</v>
      </c>
      <c r="V49" s="27">
        <f>'WGJ-4'!O27</f>
        <v>1216606.3842773438</v>
      </c>
    </row>
    <row r="50" spans="1:22" ht="12.75">
      <c r="A50" s="5">
        <f>A49+1</f>
        <v>39</v>
      </c>
      <c r="B50" t="s">
        <v>229</v>
      </c>
      <c r="C50" s="13"/>
      <c r="D50" s="22">
        <v>47</v>
      </c>
      <c r="E50" s="19">
        <f>F50-D50</f>
        <v>0</v>
      </c>
      <c r="F50" s="19">
        <v>47</v>
      </c>
      <c r="G50" s="19"/>
      <c r="H50" s="19">
        <v>78</v>
      </c>
      <c r="I50" s="19"/>
      <c r="J50" s="3">
        <f>SUM(K50:V50)/1000</f>
        <v>46.608</v>
      </c>
      <c r="K50">
        <v>3884</v>
      </c>
      <c r="L50">
        <v>3884</v>
      </c>
      <c r="M50">
        <v>3884</v>
      </c>
      <c r="N50">
        <v>3884</v>
      </c>
      <c r="O50">
        <v>3884</v>
      </c>
      <c r="P50">
        <v>3884</v>
      </c>
      <c r="Q50">
        <v>3884</v>
      </c>
      <c r="R50">
        <v>3884</v>
      </c>
      <c r="S50">
        <v>3884</v>
      </c>
      <c r="T50">
        <v>3884</v>
      </c>
      <c r="U50">
        <v>3884</v>
      </c>
      <c r="V50">
        <v>3884</v>
      </c>
    </row>
    <row r="51" spans="1:22" ht="12.75">
      <c r="A51" s="5">
        <f>A50+1</f>
        <v>40</v>
      </c>
      <c r="B51" s="12" t="s">
        <v>52</v>
      </c>
      <c r="C51" s="11"/>
      <c r="D51" s="19">
        <v>13336</v>
      </c>
      <c r="E51" s="19">
        <f>F51-D51</f>
        <v>7548.683278808592</v>
      </c>
      <c r="F51" s="92">
        <f>'WGJ-4'!C23/1000</f>
        <v>20884.683278808592</v>
      </c>
      <c r="G51" s="92"/>
      <c r="H51" s="92"/>
      <c r="I51" s="97" t="s">
        <v>139</v>
      </c>
      <c r="J51" s="3">
        <f>SUM(K51:V51)/1000</f>
        <v>20884.683278808592</v>
      </c>
      <c r="K51" s="84">
        <f>'WGJ-4'!D23</f>
        <v>1869722.0104980469</v>
      </c>
      <c r="L51" s="84">
        <f>'WGJ-4'!E23</f>
        <v>1708979.1259765625</v>
      </c>
      <c r="M51" s="84">
        <f>'WGJ-4'!F23</f>
        <v>1858744.5361328125</v>
      </c>
      <c r="N51" s="84">
        <f>'WGJ-4'!G23</f>
        <v>1659113.0407714844</v>
      </c>
      <c r="O51" s="84">
        <f>'WGJ-4'!H23</f>
        <v>1385047.3858642578</v>
      </c>
      <c r="P51" s="84">
        <f>'WGJ-4'!I23</f>
        <v>1298771.7608642578</v>
      </c>
      <c r="Q51" s="84">
        <f>'WGJ-4'!J23</f>
        <v>1807056.171875</v>
      </c>
      <c r="R51" s="84">
        <f>'WGJ-4'!K23</f>
        <v>1891223.3410644531</v>
      </c>
      <c r="S51" s="84">
        <f>'WGJ-4'!L23</f>
        <v>1831048.5095214844</v>
      </c>
      <c r="T51" s="84">
        <f>'WGJ-4'!M23</f>
        <v>1878616.8212890625</v>
      </c>
      <c r="U51" s="84">
        <f>'WGJ-4'!N23</f>
        <v>1831049.072265625</v>
      </c>
      <c r="V51" s="84">
        <f>'WGJ-4'!O23</f>
        <v>1865311.5026855469</v>
      </c>
    </row>
    <row r="52" spans="1:22" ht="12.75">
      <c r="A52" s="5">
        <f>A51+1</f>
        <v>41</v>
      </c>
      <c r="B52" s="17" t="s">
        <v>53</v>
      </c>
      <c r="C52" s="42"/>
      <c r="D52" s="43">
        <v>113</v>
      </c>
      <c r="E52" s="41">
        <f>F52-D52</f>
        <v>85</v>
      </c>
      <c r="F52" s="93">
        <v>198</v>
      </c>
      <c r="G52" s="19" t="s">
        <v>206</v>
      </c>
      <c r="H52" s="19"/>
      <c r="I52" s="19"/>
      <c r="J52" s="3">
        <f>SUM(K52:V52)/1000</f>
        <v>198</v>
      </c>
      <c r="K52" s="110">
        <f>$F52/12*1000</f>
        <v>16500</v>
      </c>
      <c r="L52" s="110">
        <f aca="true" t="shared" si="16" ref="L52:V52">$F52/12*1000</f>
        <v>16500</v>
      </c>
      <c r="M52" s="110">
        <f t="shared" si="16"/>
        <v>16500</v>
      </c>
      <c r="N52" s="110">
        <f t="shared" si="16"/>
        <v>16500</v>
      </c>
      <c r="O52" s="110">
        <f t="shared" si="16"/>
        <v>16500</v>
      </c>
      <c r="P52" s="110">
        <f t="shared" si="16"/>
        <v>16500</v>
      </c>
      <c r="Q52" s="110">
        <f t="shared" si="16"/>
        <v>16500</v>
      </c>
      <c r="R52" s="110">
        <f t="shared" si="16"/>
        <v>16500</v>
      </c>
      <c r="S52" s="110">
        <f t="shared" si="16"/>
        <v>16500</v>
      </c>
      <c r="T52" s="110">
        <f t="shared" si="16"/>
        <v>16500</v>
      </c>
      <c r="U52" s="110">
        <f t="shared" si="16"/>
        <v>16500</v>
      </c>
      <c r="V52" s="110">
        <f t="shared" si="16"/>
        <v>16500</v>
      </c>
    </row>
    <row r="53" spans="1:22" ht="12.75">
      <c r="A53" s="11">
        <f>A52+1</f>
        <v>42</v>
      </c>
      <c r="B53" t="s">
        <v>25</v>
      </c>
      <c r="D53" s="92">
        <f>SUM(D49:D52)</f>
        <v>20946</v>
      </c>
      <c r="E53" s="19">
        <f>F53-D53</f>
        <v>10609.83500793457</v>
      </c>
      <c r="F53" s="19">
        <f>SUM(F49:F52)</f>
        <v>31555.83500793457</v>
      </c>
      <c r="G53" s="19"/>
      <c r="H53" s="19">
        <v>8095.468897496661</v>
      </c>
      <c r="I53" s="19"/>
      <c r="J53" s="3">
        <f>SUM(K53:V53)/1000</f>
        <v>31555.44300793457</v>
      </c>
      <c r="K53" s="27">
        <f>SUM(K49:K52)</f>
        <v>3099386.0239257812</v>
      </c>
      <c r="L53" s="27">
        <f aca="true" t="shared" si="17" ref="L53:V53">SUM(L49:L52)</f>
        <v>2831043.1796875</v>
      </c>
      <c r="M53" s="27">
        <f t="shared" si="17"/>
        <v>3080804.689086914</v>
      </c>
      <c r="N53" s="27">
        <f t="shared" si="17"/>
        <v>1679497.0407714844</v>
      </c>
      <c r="O53" s="27">
        <f t="shared" si="17"/>
        <v>1405431.3858642578</v>
      </c>
      <c r="P53" s="27">
        <f t="shared" si="17"/>
        <v>1319155.7608642578</v>
      </c>
      <c r="Q53" s="27">
        <f t="shared" si="17"/>
        <v>2815819.0354003906</v>
      </c>
      <c r="R53" s="27">
        <f t="shared" si="17"/>
        <v>3112812.2849121094</v>
      </c>
      <c r="S53" s="27">
        <f t="shared" si="17"/>
        <v>2986079.604248047</v>
      </c>
      <c r="T53" s="27">
        <f t="shared" si="17"/>
        <v>3100776.822265625</v>
      </c>
      <c r="U53" s="27">
        <f t="shared" si="17"/>
        <v>3022335.2939453125</v>
      </c>
      <c r="V53" s="27">
        <f t="shared" si="17"/>
        <v>3102301.8869628906</v>
      </c>
    </row>
    <row r="54" spans="1:10" ht="12.75">
      <c r="A54" s="5"/>
      <c r="D54" s="19"/>
      <c r="E54" s="19"/>
      <c r="F54" s="19"/>
      <c r="G54" s="19"/>
      <c r="H54" s="19">
        <v>0</v>
      </c>
      <c r="I54" s="19"/>
      <c r="J54" s="3"/>
    </row>
    <row r="55" spans="1:10" ht="12.75">
      <c r="A55" s="5"/>
      <c r="B55" s="7" t="s">
        <v>55</v>
      </c>
      <c r="D55" s="19"/>
      <c r="E55" s="19"/>
      <c r="F55" s="19"/>
      <c r="G55" s="19"/>
      <c r="H55" s="19">
        <v>10682.990036010742</v>
      </c>
      <c r="I55" s="19"/>
      <c r="J55" s="3"/>
    </row>
    <row r="56" spans="1:22" ht="12.75">
      <c r="A56" s="5">
        <f>A53+1</f>
        <v>43</v>
      </c>
      <c r="B56" s="16" t="s">
        <v>67</v>
      </c>
      <c r="D56" s="92">
        <v>57429</v>
      </c>
      <c r="E56" s="19">
        <f aca="true" t="shared" si="18" ref="E56:E65">F56-D56</f>
        <v>-1486.5671363985894</v>
      </c>
      <c r="F56" s="92">
        <f>'WGJ-4'!C31/1000</f>
        <v>55942.43286360141</v>
      </c>
      <c r="G56" s="92"/>
      <c r="H56" s="93">
        <v>188</v>
      </c>
      <c r="I56" s="97" t="s">
        <v>139</v>
      </c>
      <c r="J56" s="3">
        <f aca="true" t="shared" si="19" ref="J56:J65">SUM(K56:V56)/1000</f>
        <v>55942.43286360141</v>
      </c>
      <c r="K56" s="27">
        <f>'WGJ-4'!D31</f>
        <v>5744478.141142888</v>
      </c>
      <c r="L56" s="27">
        <f>'WGJ-4'!E31</f>
        <v>5441310.475957307</v>
      </c>
      <c r="M56" s="27">
        <f>'WGJ-4'!F31</f>
        <v>4279273.638914602</v>
      </c>
      <c r="N56" s="27">
        <f>'WGJ-4'!G31</f>
        <v>1419224.019639867</v>
      </c>
      <c r="O56" s="27">
        <f>'WGJ-4'!H31</f>
        <v>731726.4032412667</v>
      </c>
      <c r="P56" s="27">
        <f>'WGJ-4'!I31</f>
        <v>1415572.7868979014</v>
      </c>
      <c r="Q56" s="27">
        <f>'WGJ-4'!J31</f>
        <v>5194718.798106311</v>
      </c>
      <c r="R56" s="27">
        <f>'WGJ-4'!K31</f>
        <v>6507203.925241208</v>
      </c>
      <c r="S56" s="27">
        <f>'WGJ-4'!L31</f>
        <v>6298475.6052827975</v>
      </c>
      <c r="T56" s="27">
        <f>'WGJ-4'!M31</f>
        <v>5313908.072294267</v>
      </c>
      <c r="U56" s="27">
        <f>'WGJ-4'!N31</f>
        <v>6454776.095848712</v>
      </c>
      <c r="V56" s="27">
        <f>'WGJ-4'!O31</f>
        <v>7141764.901034288</v>
      </c>
    </row>
    <row r="57" spans="1:22" ht="12.75">
      <c r="A57" s="5">
        <f>A56+1</f>
        <v>44</v>
      </c>
      <c r="B57" s="16" t="s">
        <v>249</v>
      </c>
      <c r="D57" s="92">
        <v>6832</v>
      </c>
      <c r="E57" s="19">
        <f t="shared" si="18"/>
        <v>1100</v>
      </c>
      <c r="F57" s="92">
        <v>7932</v>
      </c>
      <c r="G57" s="19"/>
      <c r="H57" s="19">
        <v>18966.458933507405</v>
      </c>
      <c r="I57" s="19"/>
      <c r="J57" s="3">
        <f t="shared" si="19"/>
        <v>7932</v>
      </c>
      <c r="K57" s="85">
        <f>$F57/12*1000</f>
        <v>661000</v>
      </c>
      <c r="L57" s="85">
        <f aca="true" t="shared" si="20" ref="L57:V57">$F57/12*1000</f>
        <v>661000</v>
      </c>
      <c r="M57" s="85">
        <f t="shared" si="20"/>
        <v>661000</v>
      </c>
      <c r="N57" s="85">
        <f t="shared" si="20"/>
        <v>661000</v>
      </c>
      <c r="O57" s="85">
        <f t="shared" si="20"/>
        <v>661000</v>
      </c>
      <c r="P57" s="85">
        <f t="shared" si="20"/>
        <v>661000</v>
      </c>
      <c r="Q57" s="85">
        <f t="shared" si="20"/>
        <v>661000</v>
      </c>
      <c r="R57" s="85">
        <f t="shared" si="20"/>
        <v>661000</v>
      </c>
      <c r="S57" s="85">
        <f t="shared" si="20"/>
        <v>661000</v>
      </c>
      <c r="T57" s="85">
        <f t="shared" si="20"/>
        <v>661000</v>
      </c>
      <c r="U57" s="85">
        <f t="shared" si="20"/>
        <v>661000</v>
      </c>
      <c r="V57" s="85">
        <f t="shared" si="20"/>
        <v>661000</v>
      </c>
    </row>
    <row r="58" spans="1:22" ht="12.75">
      <c r="A58" s="5">
        <f aca="true" t="shared" si="21" ref="A58:A66">A57+1</f>
        <v>45</v>
      </c>
      <c r="B58" s="16" t="s">
        <v>220</v>
      </c>
      <c r="D58" s="92">
        <v>0</v>
      </c>
      <c r="E58" s="19">
        <f t="shared" si="18"/>
        <v>58353.6863047163</v>
      </c>
      <c r="F58" s="92">
        <f>'WGJ-4'!C35/1000</f>
        <v>58353.6863047163</v>
      </c>
      <c r="G58" s="19"/>
      <c r="H58" s="19"/>
      <c r="I58" s="19"/>
      <c r="J58" s="3">
        <f t="shared" si="19"/>
        <v>58353.6863047163</v>
      </c>
      <c r="K58" s="85">
        <f>'WGJ-4'!D35</f>
        <v>5941697.930076155</v>
      </c>
      <c r="L58" s="85">
        <f>'WGJ-4'!E35</f>
        <v>5651709.869194174</v>
      </c>
      <c r="M58" s="85">
        <f>'WGJ-4'!F35</f>
        <v>4502879.8581306795</v>
      </c>
      <c r="N58" s="85">
        <f>'WGJ-4'!G35</f>
        <v>1388119.2749060632</v>
      </c>
      <c r="O58" s="85">
        <f>'WGJ-4'!H35</f>
        <v>915253.6251273168</v>
      </c>
      <c r="P58" s="85">
        <f>'WGJ-4'!I35</f>
        <v>965177.0730276549</v>
      </c>
      <c r="Q58" s="85">
        <f>'WGJ-4'!J35</f>
        <v>5150253.519143316</v>
      </c>
      <c r="R58" s="85">
        <f>'WGJ-4'!K35</f>
        <v>6907957.619883038</v>
      </c>
      <c r="S58" s="85">
        <f>'WGJ-4'!L35</f>
        <v>6747722.037948557</v>
      </c>
      <c r="T58" s="85">
        <f>'WGJ-4'!M35</f>
        <v>5628493.654044699</v>
      </c>
      <c r="U58" s="85">
        <f>'WGJ-4'!N35</f>
        <v>6967130.800711802</v>
      </c>
      <c r="V58" s="85">
        <f>'WGJ-4'!O35</f>
        <v>7587291.042522845</v>
      </c>
    </row>
    <row r="59" spans="1:22" ht="12.75">
      <c r="A59" s="5">
        <f t="shared" si="21"/>
        <v>46</v>
      </c>
      <c r="B59" s="16" t="s">
        <v>248</v>
      </c>
      <c r="D59" s="92">
        <v>0</v>
      </c>
      <c r="E59" s="19">
        <f t="shared" si="18"/>
        <v>6042</v>
      </c>
      <c r="F59" s="92">
        <v>6042</v>
      </c>
      <c r="G59" s="19"/>
      <c r="H59" s="19"/>
      <c r="I59" s="19"/>
      <c r="J59" s="3">
        <f t="shared" si="19"/>
        <v>6042.336</v>
      </c>
      <c r="K59" s="85">
        <v>503528</v>
      </c>
      <c r="L59" s="85">
        <v>503528</v>
      </c>
      <c r="M59" s="85">
        <v>503528</v>
      </c>
      <c r="N59" s="85">
        <v>503528</v>
      </c>
      <c r="O59" s="85">
        <v>503528</v>
      </c>
      <c r="P59" s="85">
        <v>503528</v>
      </c>
      <c r="Q59" s="85">
        <v>503528</v>
      </c>
      <c r="R59" s="85">
        <v>503528</v>
      </c>
      <c r="S59" s="85">
        <v>503528</v>
      </c>
      <c r="T59" s="85">
        <v>503528</v>
      </c>
      <c r="U59" s="85">
        <v>503528</v>
      </c>
      <c r="V59" s="85">
        <v>503528</v>
      </c>
    </row>
    <row r="60" spans="1:22" ht="12.75">
      <c r="A60" s="5">
        <f t="shared" si="21"/>
        <v>47</v>
      </c>
      <c r="B60" s="16" t="s">
        <v>246</v>
      </c>
      <c r="D60" s="92">
        <v>0</v>
      </c>
      <c r="E60" s="19">
        <f t="shared" si="18"/>
        <v>-492</v>
      </c>
      <c r="F60" s="92">
        <v>-492</v>
      </c>
      <c r="G60" s="19"/>
      <c r="H60" s="19"/>
      <c r="I60" s="19"/>
      <c r="J60" s="3">
        <f t="shared" si="19"/>
        <v>-491.87828655484805</v>
      </c>
      <c r="K60" s="85">
        <v>-20292.142300068066</v>
      </c>
      <c r="L60" s="85">
        <v>-6346.713163101886</v>
      </c>
      <c r="M60" s="85">
        <v>-42170.85077532113</v>
      </c>
      <c r="N60" s="85">
        <v>-103007.87728866143</v>
      </c>
      <c r="O60" s="85">
        <v>-145550.5252442143</v>
      </c>
      <c r="P60" s="85">
        <v>-146868.89665711529</v>
      </c>
      <c r="Q60" s="85">
        <v>-14332.920921789104</v>
      </c>
      <c r="R60" s="85">
        <v>0</v>
      </c>
      <c r="S60" s="85">
        <v>0</v>
      </c>
      <c r="T60" s="85">
        <v>-13308.360204576806</v>
      </c>
      <c r="U60" s="85">
        <v>0</v>
      </c>
      <c r="V60" s="85">
        <v>0</v>
      </c>
    </row>
    <row r="61" spans="1:22" ht="12.75">
      <c r="A61" s="5">
        <f t="shared" si="21"/>
        <v>48</v>
      </c>
      <c r="B61" s="16" t="s">
        <v>243</v>
      </c>
      <c r="D61" s="92">
        <v>0</v>
      </c>
      <c r="E61" s="19">
        <f t="shared" si="18"/>
        <v>-1925</v>
      </c>
      <c r="F61" s="92">
        <v>-1925</v>
      </c>
      <c r="G61" s="19"/>
      <c r="H61" s="19"/>
      <c r="I61" s="19"/>
      <c r="J61" s="3">
        <f t="shared" si="19"/>
        <v>-1924.7699001312253</v>
      </c>
      <c r="K61" s="85">
        <v>-90122.19546847863</v>
      </c>
      <c r="L61" s="85">
        <v>-81400.6926812065</v>
      </c>
      <c r="M61" s="85">
        <v>-90122.19546847863</v>
      </c>
      <c r="N61" s="85">
        <v>0</v>
      </c>
      <c r="O61" s="85">
        <v>0</v>
      </c>
      <c r="P61" s="85">
        <v>0</v>
      </c>
      <c r="Q61" s="85">
        <v>-361098.4983684707</v>
      </c>
      <c r="R61" s="85">
        <v>-361098.4983684707</v>
      </c>
      <c r="S61" s="85">
        <v>-349450.1597114232</v>
      </c>
      <c r="T61" s="85">
        <v>-199302.25502180005</v>
      </c>
      <c r="U61" s="85">
        <v>-192873.15002109684</v>
      </c>
      <c r="V61" s="85">
        <v>-199302.25502180005</v>
      </c>
    </row>
    <row r="62" spans="1:22" ht="12.75">
      <c r="A62" s="5">
        <f t="shared" si="21"/>
        <v>49</v>
      </c>
      <c r="B62" s="12" t="s">
        <v>71</v>
      </c>
      <c r="C62" s="12"/>
      <c r="D62" s="19">
        <v>2628</v>
      </c>
      <c r="E62" s="19">
        <f t="shared" si="18"/>
        <v>-2260.4854011927796</v>
      </c>
      <c r="F62" s="92">
        <f>'WGJ-4'!C47/1000</f>
        <v>367.51459880722047</v>
      </c>
      <c r="G62" s="92"/>
      <c r="H62" s="92"/>
      <c r="I62" s="97" t="s">
        <v>139</v>
      </c>
      <c r="J62" s="3">
        <f t="shared" si="19"/>
        <v>367.51459880722047</v>
      </c>
      <c r="K62" s="27">
        <f>'WGJ-4'!D47</f>
        <v>0</v>
      </c>
      <c r="L62" s="27">
        <f>'WGJ-4'!E47</f>
        <v>0</v>
      </c>
      <c r="M62" s="27">
        <f>'WGJ-4'!F47</f>
        <v>0</v>
      </c>
      <c r="N62" s="27">
        <f>'WGJ-4'!G47</f>
        <v>0</v>
      </c>
      <c r="O62" s="27">
        <f>'WGJ-4'!H47</f>
        <v>0</v>
      </c>
      <c r="P62" s="27">
        <f>'WGJ-4'!I47</f>
        <v>6543.267670288085</v>
      </c>
      <c r="Q62" s="27">
        <f>'WGJ-4'!J47</f>
        <v>219229.45875717164</v>
      </c>
      <c r="R62" s="27">
        <f>'WGJ-4'!K47</f>
        <v>139266.4982223511</v>
      </c>
      <c r="S62" s="27">
        <f>'WGJ-4'!L47</f>
        <v>2475.374157409668</v>
      </c>
      <c r="T62" s="27">
        <f>'WGJ-4'!M47</f>
        <v>0</v>
      </c>
      <c r="U62" s="27">
        <f>'WGJ-4'!N47</f>
        <v>0</v>
      </c>
      <c r="V62" s="27">
        <f>'WGJ-4'!O47</f>
        <v>0</v>
      </c>
    </row>
    <row r="63" spans="1:22" ht="12.75">
      <c r="A63" s="5">
        <f t="shared" si="21"/>
        <v>50</v>
      </c>
      <c r="B63" t="s">
        <v>70</v>
      </c>
      <c r="D63" s="19">
        <v>3</v>
      </c>
      <c r="E63" s="19">
        <f t="shared" si="18"/>
        <v>76.85967966079711</v>
      </c>
      <c r="F63" s="92">
        <f>'WGJ-4'!C51/1000</f>
        <v>79.85967966079711</v>
      </c>
      <c r="G63" s="92" t="s">
        <v>207</v>
      </c>
      <c r="H63" s="92"/>
      <c r="I63" s="97" t="s">
        <v>139</v>
      </c>
      <c r="J63" s="3">
        <f t="shared" si="19"/>
        <v>79.85967966079711</v>
      </c>
      <c r="K63" s="27">
        <f>'WGJ-4'!D51</f>
        <v>0</v>
      </c>
      <c r="L63" s="27">
        <f>'WGJ-4'!E51</f>
        <v>0</v>
      </c>
      <c r="M63" s="27">
        <f>'WGJ-4'!F51</f>
        <v>0</v>
      </c>
      <c r="N63" s="27">
        <f>'WGJ-4'!G51</f>
        <v>0</v>
      </c>
      <c r="O63" s="27">
        <f>'WGJ-4'!H51</f>
        <v>0</v>
      </c>
      <c r="P63" s="27">
        <f>'WGJ-4'!I51</f>
        <v>634.4431304931641</v>
      </c>
      <c r="Q63" s="27">
        <f>'WGJ-4'!J51</f>
        <v>42838.116149902344</v>
      </c>
      <c r="R63" s="27">
        <f>'WGJ-4'!K51</f>
        <v>36073.85761260986</v>
      </c>
      <c r="S63" s="27">
        <f>'WGJ-4'!L51</f>
        <v>313.26276779174805</v>
      </c>
      <c r="T63" s="27">
        <f>'WGJ-4'!M51</f>
        <v>0</v>
      </c>
      <c r="U63" s="27">
        <f>'WGJ-4'!N51</f>
        <v>0</v>
      </c>
      <c r="V63" s="27">
        <f>'WGJ-4'!O51</f>
        <v>0</v>
      </c>
    </row>
    <row r="64" spans="1:22" ht="12.75">
      <c r="A64" s="5">
        <f t="shared" si="21"/>
        <v>51</v>
      </c>
      <c r="B64" t="s">
        <v>68</v>
      </c>
      <c r="D64" s="19">
        <v>1461</v>
      </c>
      <c r="E64" s="19">
        <f t="shared" si="18"/>
        <v>-1240.6790044569968</v>
      </c>
      <c r="F64" s="92">
        <f>'WGJ-4'!C39/1000</f>
        <v>220.32099554300308</v>
      </c>
      <c r="G64" s="92"/>
      <c r="H64" s="92">
        <v>59394.36670457919</v>
      </c>
      <c r="I64" s="97" t="s">
        <v>139</v>
      </c>
      <c r="J64" s="3">
        <f t="shared" si="19"/>
        <v>220.32099554300308</v>
      </c>
      <c r="K64" s="27">
        <f>'WGJ-4'!D39</f>
        <v>36584.06181335449</v>
      </c>
      <c r="L64" s="27">
        <f>'WGJ-4'!E39</f>
        <v>10298.773651123047</v>
      </c>
      <c r="M64" s="27">
        <f>'WGJ-4'!F39</f>
        <v>3389.1441321372986</v>
      </c>
      <c r="N64" s="27">
        <f>'WGJ-4'!G39</f>
        <v>217.17312812805176</v>
      </c>
      <c r="O64" s="27">
        <f>'WGJ-4'!H39</f>
        <v>859.9519872665405</v>
      </c>
      <c r="P64" s="27">
        <f>'WGJ-4'!I39</f>
        <v>5385.897842645645</v>
      </c>
      <c r="Q64" s="27">
        <f>'WGJ-4'!J39</f>
        <v>100420.74683070183</v>
      </c>
      <c r="R64" s="27">
        <f>'WGJ-4'!K39</f>
        <v>55348.840725421906</v>
      </c>
      <c r="S64" s="27">
        <f>'WGJ-4'!L39</f>
        <v>2283.60267162323</v>
      </c>
      <c r="T64" s="27">
        <f>'WGJ-4'!M39</f>
        <v>302.29668617248535</v>
      </c>
      <c r="U64" s="27">
        <f>'WGJ-4'!N39</f>
        <v>1575.7321190834045</v>
      </c>
      <c r="V64" s="27">
        <f>'WGJ-4'!O39</f>
        <v>3654.773955345154</v>
      </c>
    </row>
    <row r="65" spans="1:22" ht="12.75">
      <c r="A65" s="5">
        <f t="shared" si="21"/>
        <v>52</v>
      </c>
      <c r="B65" s="107" t="s">
        <v>69</v>
      </c>
      <c r="C65" s="17"/>
      <c r="D65" s="41">
        <v>303</v>
      </c>
      <c r="E65" s="41">
        <f t="shared" si="18"/>
        <v>-38.98444881439207</v>
      </c>
      <c r="F65" s="93">
        <f>'WGJ-4'!C43/1000</f>
        <v>264.01555118560793</v>
      </c>
      <c r="G65" s="92"/>
      <c r="H65" s="92">
        <v>6240</v>
      </c>
      <c r="I65" s="97" t="s">
        <v>139</v>
      </c>
      <c r="J65" s="88">
        <f t="shared" si="19"/>
        <v>264.01555118560793</v>
      </c>
      <c r="K65" s="132">
        <f>'WGJ-4'!D43</f>
        <v>47231.15116596222</v>
      </c>
      <c r="L65" s="132">
        <f>'WGJ-4'!E43</f>
        <v>24117.37196445465</v>
      </c>
      <c r="M65" s="132">
        <f>'WGJ-4'!F43</f>
        <v>12726.531038284302</v>
      </c>
      <c r="N65" s="132">
        <f>'WGJ-4'!G43</f>
        <v>0</v>
      </c>
      <c r="O65" s="132">
        <f>'WGJ-4'!H43</f>
        <v>0</v>
      </c>
      <c r="P65" s="132">
        <f>'WGJ-4'!I43</f>
        <v>370.1232433319092</v>
      </c>
      <c r="Q65" s="132">
        <f>'WGJ-4'!J43</f>
        <v>54676.47220611572</v>
      </c>
      <c r="R65" s="132">
        <f>'WGJ-4'!K43</f>
        <v>68026.23819351196</v>
      </c>
      <c r="S65" s="132">
        <f>'WGJ-4'!L43</f>
        <v>5188.781180381775</v>
      </c>
      <c r="T65" s="132">
        <f>'WGJ-4'!M43</f>
        <v>1090.5040216445923</v>
      </c>
      <c r="U65" s="132">
        <f>'WGJ-4'!N43</f>
        <v>11609.002161026001</v>
      </c>
      <c r="V65" s="132">
        <f>'WGJ-4'!O43</f>
        <v>38979.376010894775</v>
      </c>
    </row>
    <row r="66" spans="1:22" ht="12.75">
      <c r="A66" s="5">
        <f t="shared" si="21"/>
        <v>53</v>
      </c>
      <c r="B66" t="s">
        <v>49</v>
      </c>
      <c r="D66" s="92">
        <f>SUM(D56:D65)</f>
        <v>68656</v>
      </c>
      <c r="E66" s="19">
        <f>F66-D66</f>
        <v>58128.829993514344</v>
      </c>
      <c r="F66" s="19">
        <f>SUM(F56:F65)</f>
        <v>126784.82999351434</v>
      </c>
      <c r="G66" s="19"/>
      <c r="H66" s="19">
        <v>0.11360950271288535</v>
      </c>
      <c r="I66" s="19"/>
      <c r="J66" s="3">
        <f aca="true" t="shared" si="22" ref="J66:V66">SUM(J56:J65)</f>
        <v>126785.51780682827</v>
      </c>
      <c r="K66" s="27">
        <f t="shared" si="22"/>
        <v>12824104.946429813</v>
      </c>
      <c r="L66" s="27">
        <f t="shared" si="22"/>
        <v>12204217.08492275</v>
      </c>
      <c r="M66" s="27">
        <f t="shared" si="22"/>
        <v>9830504.125971904</v>
      </c>
      <c r="N66" s="27">
        <f t="shared" si="22"/>
        <v>3869080.5903853965</v>
      </c>
      <c r="O66" s="27">
        <f t="shared" si="22"/>
        <v>2666817.455111636</v>
      </c>
      <c r="P66" s="27">
        <f t="shared" si="22"/>
        <v>3411342.6951552</v>
      </c>
      <c r="Q66" s="27">
        <f t="shared" si="22"/>
        <v>11551233.691903258</v>
      </c>
      <c r="R66" s="27">
        <f t="shared" si="22"/>
        <v>14517306.48150967</v>
      </c>
      <c r="S66" s="27">
        <f t="shared" si="22"/>
        <v>13871536.50429714</v>
      </c>
      <c r="T66" s="27">
        <f t="shared" si="22"/>
        <v>11895711.911820406</v>
      </c>
      <c r="U66" s="27">
        <f t="shared" si="22"/>
        <v>14406746.480819527</v>
      </c>
      <c r="V66" s="27">
        <f t="shared" si="22"/>
        <v>15736915.838501573</v>
      </c>
    </row>
    <row r="67" spans="1:22" ht="12.75">
      <c r="A67" s="5"/>
      <c r="D67" s="19"/>
      <c r="E67" s="19"/>
      <c r="F67" s="19"/>
      <c r="G67" s="19"/>
      <c r="H67" s="19">
        <v>3237.801052308828</v>
      </c>
      <c r="I67" s="19"/>
      <c r="J67" s="3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10" ht="12.75">
      <c r="A68" s="5"/>
      <c r="D68" s="19"/>
      <c r="E68" s="19"/>
      <c r="F68" s="19"/>
      <c r="G68" s="19"/>
      <c r="H68" s="19">
        <v>592.635823396283</v>
      </c>
      <c r="I68" s="19"/>
      <c r="J68" s="3"/>
    </row>
    <row r="69" spans="1:10" ht="12.75">
      <c r="A69" s="5"/>
      <c r="B69" s="7" t="s">
        <v>12</v>
      </c>
      <c r="D69" s="19"/>
      <c r="E69" s="19" t="s">
        <v>11</v>
      </c>
      <c r="F69" s="19"/>
      <c r="G69" s="19"/>
      <c r="H69" s="41">
        <v>480</v>
      </c>
      <c r="I69" s="19"/>
      <c r="J69" s="3"/>
    </row>
    <row r="70" spans="1:22" ht="12.75">
      <c r="A70" s="5">
        <f>A66+1</f>
        <v>54</v>
      </c>
      <c r="B70" t="s">
        <v>7</v>
      </c>
      <c r="C70" s="12"/>
      <c r="D70" s="19">
        <v>789</v>
      </c>
      <c r="E70" s="19">
        <f aca="true" t="shared" si="23" ref="E70:E82">F70-D70</f>
        <v>0</v>
      </c>
      <c r="F70" s="92">
        <v>789</v>
      </c>
      <c r="G70" s="19"/>
      <c r="H70" s="19">
        <v>70026.23275827609</v>
      </c>
      <c r="I70" s="19"/>
      <c r="J70" s="3">
        <f aca="true" t="shared" si="24" ref="J70:J83">SUM(K70:V70)/1000</f>
        <v>789</v>
      </c>
      <c r="K70" s="59">
        <f>$F70/12*1000</f>
        <v>65750</v>
      </c>
      <c r="L70" s="59">
        <f aca="true" t="shared" si="25" ref="L70:V70">$F70/12*1000</f>
        <v>65750</v>
      </c>
      <c r="M70" s="59">
        <f t="shared" si="25"/>
        <v>65750</v>
      </c>
      <c r="N70" s="59">
        <f t="shared" si="25"/>
        <v>65750</v>
      </c>
      <c r="O70" s="59">
        <f t="shared" si="25"/>
        <v>65750</v>
      </c>
      <c r="P70" s="59">
        <f t="shared" si="25"/>
        <v>65750</v>
      </c>
      <c r="Q70" s="59">
        <f t="shared" si="25"/>
        <v>65750</v>
      </c>
      <c r="R70" s="59">
        <f t="shared" si="25"/>
        <v>65750</v>
      </c>
      <c r="S70" s="59">
        <f t="shared" si="25"/>
        <v>65750</v>
      </c>
      <c r="T70" s="59">
        <f t="shared" si="25"/>
        <v>65750</v>
      </c>
      <c r="U70" s="59">
        <f t="shared" si="25"/>
        <v>65750</v>
      </c>
      <c r="V70" s="59">
        <f t="shared" si="25"/>
        <v>65750</v>
      </c>
    </row>
    <row r="71" spans="1:22" ht="12.75">
      <c r="A71" s="5">
        <f>A70+1</f>
        <v>55</v>
      </c>
      <c r="B71" t="s">
        <v>194</v>
      </c>
      <c r="D71" s="19">
        <v>13</v>
      </c>
      <c r="E71" s="19">
        <f t="shared" si="23"/>
        <v>0</v>
      </c>
      <c r="F71" s="94">
        <v>13</v>
      </c>
      <c r="G71" s="119"/>
      <c r="H71" s="22"/>
      <c r="I71" s="19"/>
      <c r="J71" s="3">
        <f t="shared" si="24"/>
        <v>12.661</v>
      </c>
      <c r="K71" s="59"/>
      <c r="L71" s="59"/>
      <c r="M71" s="59"/>
      <c r="N71" s="59"/>
      <c r="O71" s="59"/>
      <c r="P71" s="59"/>
      <c r="Q71" s="59">
        <v>12661</v>
      </c>
      <c r="R71" s="59"/>
      <c r="S71" s="59"/>
      <c r="T71" s="59"/>
      <c r="U71" s="59"/>
      <c r="V71" s="59"/>
    </row>
    <row r="72" spans="1:22" ht="12.75">
      <c r="A72" s="5">
        <f>A71+1</f>
        <v>56</v>
      </c>
      <c r="B72" t="s">
        <v>29</v>
      </c>
      <c r="D72" s="19">
        <v>25</v>
      </c>
      <c r="E72" s="19">
        <f>F72-D72</f>
        <v>-4</v>
      </c>
      <c r="F72" s="94">
        <v>21</v>
      </c>
      <c r="G72" s="22" t="s">
        <v>209</v>
      </c>
      <c r="H72" s="22"/>
      <c r="I72" s="22"/>
      <c r="J72" s="3">
        <f t="shared" si="24"/>
        <v>21</v>
      </c>
      <c r="K72" s="59">
        <f aca="true" t="shared" si="26" ref="K72:V82">$F72/12*1000</f>
        <v>1750</v>
      </c>
      <c r="L72" s="59">
        <f t="shared" si="26"/>
        <v>1750</v>
      </c>
      <c r="M72" s="59">
        <f t="shared" si="26"/>
        <v>1750</v>
      </c>
      <c r="N72" s="59">
        <f t="shared" si="26"/>
        <v>1750</v>
      </c>
      <c r="O72" s="59">
        <f t="shared" si="26"/>
        <v>1750</v>
      </c>
      <c r="P72" s="59">
        <f t="shared" si="26"/>
        <v>1750</v>
      </c>
      <c r="Q72" s="59">
        <f t="shared" si="26"/>
        <v>1750</v>
      </c>
      <c r="R72" s="59">
        <f t="shared" si="26"/>
        <v>1750</v>
      </c>
      <c r="S72" s="59">
        <f t="shared" si="26"/>
        <v>1750</v>
      </c>
      <c r="T72" s="59">
        <f t="shared" si="26"/>
        <v>1750</v>
      </c>
      <c r="U72" s="59">
        <f t="shared" si="26"/>
        <v>1750</v>
      </c>
      <c r="V72" s="59">
        <f t="shared" si="26"/>
        <v>1750</v>
      </c>
    </row>
    <row r="73" spans="1:22" ht="12.75">
      <c r="A73" s="5">
        <f>A72+1</f>
        <v>57</v>
      </c>
      <c r="B73" t="s">
        <v>126</v>
      </c>
      <c r="D73" s="19">
        <v>332</v>
      </c>
      <c r="E73" s="19">
        <f t="shared" si="23"/>
        <v>0</v>
      </c>
      <c r="F73" s="92">
        <v>332</v>
      </c>
      <c r="G73" s="19"/>
      <c r="H73" s="19"/>
      <c r="I73" s="19"/>
      <c r="J73" s="3">
        <f t="shared" si="24"/>
        <v>332</v>
      </c>
      <c r="K73" s="59">
        <f t="shared" si="26"/>
        <v>27666.666666666668</v>
      </c>
      <c r="L73" s="59">
        <f t="shared" si="26"/>
        <v>27666.666666666668</v>
      </c>
      <c r="M73" s="59">
        <f t="shared" si="26"/>
        <v>27666.666666666668</v>
      </c>
      <c r="N73" s="59">
        <f t="shared" si="26"/>
        <v>27666.666666666668</v>
      </c>
      <c r="O73" s="59">
        <f t="shared" si="26"/>
        <v>27666.666666666668</v>
      </c>
      <c r="P73" s="59">
        <f t="shared" si="26"/>
        <v>27666.666666666668</v>
      </c>
      <c r="Q73" s="59">
        <f t="shared" si="26"/>
        <v>27666.666666666668</v>
      </c>
      <c r="R73" s="59">
        <f t="shared" si="26"/>
        <v>27666.666666666668</v>
      </c>
      <c r="S73" s="59">
        <f t="shared" si="26"/>
        <v>27666.666666666668</v>
      </c>
      <c r="T73" s="59">
        <f t="shared" si="26"/>
        <v>27666.666666666668</v>
      </c>
      <c r="U73" s="59">
        <f t="shared" si="26"/>
        <v>27666.666666666668</v>
      </c>
      <c r="V73" s="59">
        <f t="shared" si="26"/>
        <v>27666.666666666668</v>
      </c>
    </row>
    <row r="74" spans="1:22" ht="12.75">
      <c r="A74" s="5">
        <f aca="true" t="shared" si="27" ref="A74:A83">A73+1</f>
        <v>58</v>
      </c>
      <c r="B74" t="s">
        <v>226</v>
      </c>
      <c r="D74" s="19">
        <v>8432</v>
      </c>
      <c r="E74" s="19">
        <f t="shared" si="23"/>
        <v>-2</v>
      </c>
      <c r="F74" s="92">
        <v>8430</v>
      </c>
      <c r="G74" s="92"/>
      <c r="H74" s="92">
        <v>772</v>
      </c>
      <c r="I74" s="95"/>
      <c r="J74" s="3">
        <f t="shared" si="24"/>
        <v>8430</v>
      </c>
      <c r="K74" s="59">
        <f t="shared" si="26"/>
        <v>702500</v>
      </c>
      <c r="L74" s="59">
        <f t="shared" si="26"/>
        <v>702500</v>
      </c>
      <c r="M74" s="59">
        <f t="shared" si="26"/>
        <v>702500</v>
      </c>
      <c r="N74" s="59">
        <f t="shared" si="26"/>
        <v>702500</v>
      </c>
      <c r="O74" s="59">
        <f t="shared" si="26"/>
        <v>702500</v>
      </c>
      <c r="P74" s="59">
        <f t="shared" si="26"/>
        <v>702500</v>
      </c>
      <c r="Q74" s="59">
        <f t="shared" si="26"/>
        <v>702500</v>
      </c>
      <c r="R74" s="59">
        <f t="shared" si="26"/>
        <v>702500</v>
      </c>
      <c r="S74" s="59">
        <f t="shared" si="26"/>
        <v>702500</v>
      </c>
      <c r="T74" s="59">
        <f t="shared" si="26"/>
        <v>702500</v>
      </c>
      <c r="U74" s="59">
        <f t="shared" si="26"/>
        <v>702500</v>
      </c>
      <c r="V74" s="59">
        <f t="shared" si="26"/>
        <v>702500</v>
      </c>
    </row>
    <row r="75" spans="1:22" ht="12.75">
      <c r="A75" s="5">
        <f t="shared" si="27"/>
        <v>59</v>
      </c>
      <c r="B75" t="s">
        <v>225</v>
      </c>
      <c r="D75" s="19">
        <v>0</v>
      </c>
      <c r="E75" s="19">
        <f t="shared" si="23"/>
        <v>4503</v>
      </c>
      <c r="F75" s="92">
        <v>4503</v>
      </c>
      <c r="G75" s="92"/>
      <c r="H75" s="92"/>
      <c r="I75" s="95"/>
      <c r="J75" s="3">
        <f t="shared" si="24"/>
        <v>4503</v>
      </c>
      <c r="K75" s="59">
        <f t="shared" si="26"/>
        <v>375250</v>
      </c>
      <c r="L75" s="59">
        <f t="shared" si="26"/>
        <v>375250</v>
      </c>
      <c r="M75" s="59">
        <f t="shared" si="26"/>
        <v>375250</v>
      </c>
      <c r="N75" s="59">
        <f t="shared" si="26"/>
        <v>375250</v>
      </c>
      <c r="O75" s="59">
        <f t="shared" si="26"/>
        <v>375250</v>
      </c>
      <c r="P75" s="59">
        <f t="shared" si="26"/>
        <v>375250</v>
      </c>
      <c r="Q75" s="59">
        <f t="shared" si="26"/>
        <v>375250</v>
      </c>
      <c r="R75" s="59">
        <f t="shared" si="26"/>
        <v>375250</v>
      </c>
      <c r="S75" s="59">
        <f t="shared" si="26"/>
        <v>375250</v>
      </c>
      <c r="T75" s="59">
        <f t="shared" si="26"/>
        <v>375250</v>
      </c>
      <c r="U75" s="59">
        <f t="shared" si="26"/>
        <v>375250</v>
      </c>
      <c r="V75" s="59">
        <f t="shared" si="26"/>
        <v>375250</v>
      </c>
    </row>
    <row r="76" spans="1:22" ht="12.75">
      <c r="A76" s="5">
        <f t="shared" si="27"/>
        <v>60</v>
      </c>
      <c r="B76" t="s">
        <v>247</v>
      </c>
      <c r="D76" s="19">
        <v>0</v>
      </c>
      <c r="E76" s="19">
        <f t="shared" si="23"/>
        <v>-241</v>
      </c>
      <c r="F76" s="92">
        <v>-241</v>
      </c>
      <c r="G76" s="92"/>
      <c r="H76" s="92"/>
      <c r="I76" s="95"/>
      <c r="J76" s="3">
        <f t="shared" si="24"/>
        <v>-241.00000000000003</v>
      </c>
      <c r="K76" s="59">
        <f t="shared" si="26"/>
        <v>-20083.333333333332</v>
      </c>
      <c r="L76" s="59">
        <f t="shared" si="26"/>
        <v>-20083.333333333332</v>
      </c>
      <c r="M76" s="59">
        <f t="shared" si="26"/>
        <v>-20083.333333333332</v>
      </c>
      <c r="N76" s="59">
        <f t="shared" si="26"/>
        <v>-20083.333333333332</v>
      </c>
      <c r="O76" s="59">
        <f t="shared" si="26"/>
        <v>-20083.333333333332</v>
      </c>
      <c r="P76" s="59">
        <f t="shared" si="26"/>
        <v>-20083.333333333332</v>
      </c>
      <c r="Q76" s="59">
        <f t="shared" si="26"/>
        <v>-20083.333333333332</v>
      </c>
      <c r="R76" s="59">
        <f t="shared" si="26"/>
        <v>-20083.333333333332</v>
      </c>
      <c r="S76" s="59">
        <f t="shared" si="26"/>
        <v>-20083.333333333332</v>
      </c>
      <c r="T76" s="59">
        <f t="shared" si="26"/>
        <v>-20083.333333333332</v>
      </c>
      <c r="U76" s="59">
        <f t="shared" si="26"/>
        <v>-20083.333333333332</v>
      </c>
      <c r="V76" s="59">
        <f t="shared" si="26"/>
        <v>-20083.333333333332</v>
      </c>
    </row>
    <row r="77" spans="1:22" ht="12.75">
      <c r="A77" s="5">
        <f t="shared" si="27"/>
        <v>61</v>
      </c>
      <c r="B77" t="s">
        <v>27</v>
      </c>
      <c r="D77" s="19">
        <v>1173</v>
      </c>
      <c r="E77" s="19">
        <f t="shared" si="23"/>
        <v>0</v>
      </c>
      <c r="F77" s="92">
        <v>1173</v>
      </c>
      <c r="G77" s="19" t="s">
        <v>208</v>
      </c>
      <c r="H77" s="19">
        <v>49</v>
      </c>
      <c r="I77" s="19"/>
      <c r="J77" s="3">
        <f t="shared" si="24"/>
        <v>1173</v>
      </c>
      <c r="K77" s="59">
        <f t="shared" si="26"/>
        <v>97750</v>
      </c>
      <c r="L77" s="59">
        <f t="shared" si="26"/>
        <v>97750</v>
      </c>
      <c r="M77" s="59">
        <f t="shared" si="26"/>
        <v>97750</v>
      </c>
      <c r="N77" s="59">
        <f t="shared" si="26"/>
        <v>97750</v>
      </c>
      <c r="O77" s="59">
        <f t="shared" si="26"/>
        <v>97750</v>
      </c>
      <c r="P77" s="59">
        <f t="shared" si="26"/>
        <v>97750</v>
      </c>
      <c r="Q77" s="59">
        <f t="shared" si="26"/>
        <v>97750</v>
      </c>
      <c r="R77" s="59">
        <f t="shared" si="26"/>
        <v>97750</v>
      </c>
      <c r="S77" s="59">
        <f t="shared" si="26"/>
        <v>97750</v>
      </c>
      <c r="T77" s="59">
        <f t="shared" si="26"/>
        <v>97750</v>
      </c>
      <c r="U77" s="59">
        <f t="shared" si="26"/>
        <v>97750</v>
      </c>
      <c r="V77" s="59">
        <f t="shared" si="26"/>
        <v>97750</v>
      </c>
    </row>
    <row r="78" spans="1:22" ht="12.75">
      <c r="A78" s="5">
        <f t="shared" si="27"/>
        <v>62</v>
      </c>
      <c r="B78" t="s">
        <v>105</v>
      </c>
      <c r="D78" s="19">
        <v>1530</v>
      </c>
      <c r="E78" s="19">
        <f t="shared" si="23"/>
        <v>0</v>
      </c>
      <c r="F78" s="92">
        <v>1530</v>
      </c>
      <c r="G78" s="97"/>
      <c r="H78" s="19">
        <v>348</v>
      </c>
      <c r="I78" s="19"/>
      <c r="J78" s="3">
        <f t="shared" si="24"/>
        <v>1530</v>
      </c>
      <c r="K78" s="59">
        <f t="shared" si="26"/>
        <v>127500</v>
      </c>
      <c r="L78" s="59">
        <f t="shared" si="26"/>
        <v>127500</v>
      </c>
      <c r="M78" s="59">
        <f t="shared" si="26"/>
        <v>127500</v>
      </c>
      <c r="N78" s="59">
        <f t="shared" si="26"/>
        <v>127500</v>
      </c>
      <c r="O78" s="59">
        <f t="shared" si="26"/>
        <v>127500</v>
      </c>
      <c r="P78" s="59">
        <f t="shared" si="26"/>
        <v>127500</v>
      </c>
      <c r="Q78" s="59">
        <f t="shared" si="26"/>
        <v>127500</v>
      </c>
      <c r="R78" s="59">
        <f t="shared" si="26"/>
        <v>127500</v>
      </c>
      <c r="S78" s="59">
        <f t="shared" si="26"/>
        <v>127500</v>
      </c>
      <c r="T78" s="59">
        <f t="shared" si="26"/>
        <v>127500</v>
      </c>
      <c r="U78" s="59">
        <f t="shared" si="26"/>
        <v>127500</v>
      </c>
      <c r="V78" s="59">
        <f t="shared" si="26"/>
        <v>127500</v>
      </c>
    </row>
    <row r="79" spans="1:22" ht="12.75">
      <c r="A79" s="5">
        <f t="shared" si="27"/>
        <v>63</v>
      </c>
      <c r="B79" t="s">
        <v>104</v>
      </c>
      <c r="D79" s="19">
        <v>45</v>
      </c>
      <c r="E79" s="19">
        <f t="shared" si="23"/>
        <v>0</v>
      </c>
      <c r="F79" s="92">
        <v>45</v>
      </c>
      <c r="G79" s="19"/>
      <c r="H79" s="19">
        <v>8315</v>
      </c>
      <c r="I79" s="19"/>
      <c r="J79" s="3">
        <f t="shared" si="24"/>
        <v>45</v>
      </c>
      <c r="K79" s="59">
        <f t="shared" si="26"/>
        <v>3750</v>
      </c>
      <c r="L79" s="59">
        <f t="shared" si="26"/>
        <v>3750</v>
      </c>
      <c r="M79" s="59">
        <f t="shared" si="26"/>
        <v>3750</v>
      </c>
      <c r="N79" s="59">
        <f t="shared" si="26"/>
        <v>3750</v>
      </c>
      <c r="O79" s="59">
        <f t="shared" si="26"/>
        <v>3750</v>
      </c>
      <c r="P79" s="59">
        <f t="shared" si="26"/>
        <v>3750</v>
      </c>
      <c r="Q79" s="59">
        <f t="shared" si="26"/>
        <v>3750</v>
      </c>
      <c r="R79" s="59">
        <f t="shared" si="26"/>
        <v>3750</v>
      </c>
      <c r="S79" s="59">
        <f t="shared" si="26"/>
        <v>3750</v>
      </c>
      <c r="T79" s="59">
        <f t="shared" si="26"/>
        <v>3750</v>
      </c>
      <c r="U79" s="59">
        <f t="shared" si="26"/>
        <v>3750</v>
      </c>
      <c r="V79" s="59">
        <f t="shared" si="26"/>
        <v>3750</v>
      </c>
    </row>
    <row r="80" spans="1:22" ht="12.75">
      <c r="A80" s="5">
        <f t="shared" si="27"/>
        <v>64</v>
      </c>
      <c r="B80" t="s">
        <v>143</v>
      </c>
      <c r="D80" s="19">
        <v>140</v>
      </c>
      <c r="E80" s="19">
        <f t="shared" si="23"/>
        <v>0</v>
      </c>
      <c r="F80" s="92">
        <v>140</v>
      </c>
      <c r="G80" s="19"/>
      <c r="H80" s="19">
        <v>1245</v>
      </c>
      <c r="I80" s="19"/>
      <c r="J80" s="3">
        <f t="shared" si="24"/>
        <v>140.00000000000003</v>
      </c>
      <c r="K80" s="59">
        <f t="shared" si="26"/>
        <v>11666.666666666666</v>
      </c>
      <c r="L80" s="59">
        <f t="shared" si="26"/>
        <v>11666.666666666666</v>
      </c>
      <c r="M80" s="59">
        <f t="shared" si="26"/>
        <v>11666.666666666666</v>
      </c>
      <c r="N80" s="59">
        <f t="shared" si="26"/>
        <v>11666.666666666666</v>
      </c>
      <c r="O80" s="59">
        <f t="shared" si="26"/>
        <v>11666.666666666666</v>
      </c>
      <c r="P80" s="59">
        <f t="shared" si="26"/>
        <v>11666.666666666666</v>
      </c>
      <c r="Q80" s="59">
        <f t="shared" si="26"/>
        <v>11666.666666666666</v>
      </c>
      <c r="R80" s="59">
        <f t="shared" si="26"/>
        <v>11666.666666666666</v>
      </c>
      <c r="S80" s="59">
        <f t="shared" si="26"/>
        <v>11666.666666666666</v>
      </c>
      <c r="T80" s="59">
        <f t="shared" si="26"/>
        <v>11666.666666666666</v>
      </c>
      <c r="U80" s="59">
        <f t="shared" si="26"/>
        <v>11666.666666666666</v>
      </c>
      <c r="V80" s="59">
        <f t="shared" si="26"/>
        <v>11666.666666666666</v>
      </c>
    </row>
    <row r="81" spans="1:22" ht="12.75">
      <c r="A81" s="5">
        <f t="shared" si="27"/>
        <v>65</v>
      </c>
      <c r="B81" t="s">
        <v>13</v>
      </c>
      <c r="C81" s="12"/>
      <c r="D81" s="19">
        <v>226</v>
      </c>
      <c r="E81" s="19">
        <f t="shared" si="23"/>
        <v>44</v>
      </c>
      <c r="F81" s="92">
        <v>270</v>
      </c>
      <c r="G81" s="19"/>
      <c r="H81" s="19">
        <v>1689</v>
      </c>
      <c r="I81" s="19"/>
      <c r="J81" s="3">
        <f t="shared" si="24"/>
        <v>270</v>
      </c>
      <c r="K81" s="59">
        <f t="shared" si="26"/>
        <v>22500</v>
      </c>
      <c r="L81" s="59">
        <f t="shared" si="26"/>
        <v>22500</v>
      </c>
      <c r="M81" s="59">
        <f t="shared" si="26"/>
        <v>22500</v>
      </c>
      <c r="N81" s="59">
        <f t="shared" si="26"/>
        <v>22500</v>
      </c>
      <c r="O81" s="59">
        <f t="shared" si="26"/>
        <v>22500</v>
      </c>
      <c r="P81" s="59">
        <f t="shared" si="26"/>
        <v>22500</v>
      </c>
      <c r="Q81" s="59">
        <f t="shared" si="26"/>
        <v>22500</v>
      </c>
      <c r="R81" s="59">
        <f t="shared" si="26"/>
        <v>22500</v>
      </c>
      <c r="S81" s="59">
        <f t="shared" si="26"/>
        <v>22500</v>
      </c>
      <c r="T81" s="59">
        <f t="shared" si="26"/>
        <v>22500</v>
      </c>
      <c r="U81" s="59">
        <f t="shared" si="26"/>
        <v>22500</v>
      </c>
      <c r="V81" s="59">
        <f t="shared" si="26"/>
        <v>22500</v>
      </c>
    </row>
    <row r="82" spans="1:22" ht="12.75">
      <c r="A82" s="5">
        <f t="shared" si="27"/>
        <v>66</v>
      </c>
      <c r="B82" s="17" t="s">
        <v>33</v>
      </c>
      <c r="C82" s="17"/>
      <c r="D82" s="41">
        <v>647</v>
      </c>
      <c r="E82" s="41">
        <f t="shared" si="23"/>
        <v>-4</v>
      </c>
      <c r="F82" s="93">
        <v>643</v>
      </c>
      <c r="G82" s="19"/>
      <c r="H82" s="19">
        <v>32.112</v>
      </c>
      <c r="I82" s="19"/>
      <c r="J82" s="88">
        <f t="shared" si="24"/>
        <v>643</v>
      </c>
      <c r="K82" s="106">
        <f t="shared" si="26"/>
        <v>53583.333333333336</v>
      </c>
      <c r="L82" s="106">
        <f t="shared" si="26"/>
        <v>53583.333333333336</v>
      </c>
      <c r="M82" s="106">
        <f t="shared" si="26"/>
        <v>53583.333333333336</v>
      </c>
      <c r="N82" s="106">
        <f t="shared" si="26"/>
        <v>53583.333333333336</v>
      </c>
      <c r="O82" s="106">
        <f t="shared" si="26"/>
        <v>53583.333333333336</v>
      </c>
      <c r="P82" s="106">
        <f t="shared" si="26"/>
        <v>53583.333333333336</v>
      </c>
      <c r="Q82" s="106">
        <f t="shared" si="26"/>
        <v>53583.333333333336</v>
      </c>
      <c r="R82" s="106">
        <f t="shared" si="26"/>
        <v>53583.333333333336</v>
      </c>
      <c r="S82" s="106">
        <f t="shared" si="26"/>
        <v>53583.333333333336</v>
      </c>
      <c r="T82" s="106">
        <f t="shared" si="26"/>
        <v>53583.333333333336</v>
      </c>
      <c r="U82" s="106">
        <f t="shared" si="26"/>
        <v>53583.333333333336</v>
      </c>
      <c r="V82" s="106">
        <f t="shared" si="26"/>
        <v>53583.333333333336</v>
      </c>
    </row>
    <row r="83" spans="1:22" ht="12.75">
      <c r="A83" s="5">
        <f t="shared" si="27"/>
        <v>67</v>
      </c>
      <c r="B83" t="s">
        <v>14</v>
      </c>
      <c r="D83" s="92">
        <f>SUM(D70:D82)</f>
        <v>13352</v>
      </c>
      <c r="E83" s="19">
        <f>F83-D83</f>
        <v>4296</v>
      </c>
      <c r="F83" s="19">
        <f>SUM(F70:F82)</f>
        <v>17648</v>
      </c>
      <c r="G83" s="19"/>
      <c r="H83" s="19">
        <v>214</v>
      </c>
      <c r="I83" s="19"/>
      <c r="J83" s="3">
        <f t="shared" si="24"/>
        <v>17647.661000000004</v>
      </c>
      <c r="K83" s="27">
        <f aca="true" t="shared" si="28" ref="K83:V83">SUM(K70:K82)</f>
        <v>1469583.3333333333</v>
      </c>
      <c r="L83" s="27">
        <f t="shared" si="28"/>
        <v>1469583.3333333333</v>
      </c>
      <c r="M83" s="27">
        <f t="shared" si="28"/>
        <v>1469583.3333333333</v>
      </c>
      <c r="N83" s="27">
        <f t="shared" si="28"/>
        <v>1469583.3333333333</v>
      </c>
      <c r="O83" s="27">
        <f t="shared" si="28"/>
        <v>1469583.3333333333</v>
      </c>
      <c r="P83" s="27">
        <f t="shared" si="28"/>
        <v>1469583.3333333333</v>
      </c>
      <c r="Q83" s="27">
        <f t="shared" si="28"/>
        <v>1482244.3333333333</v>
      </c>
      <c r="R83" s="27">
        <f t="shared" si="28"/>
        <v>1469583.3333333333</v>
      </c>
      <c r="S83" s="27">
        <f t="shared" si="28"/>
        <v>1469583.3333333333</v>
      </c>
      <c r="T83" s="27">
        <f t="shared" si="28"/>
        <v>1469583.3333333333</v>
      </c>
      <c r="U83" s="27">
        <f t="shared" si="28"/>
        <v>1469583.3333333333</v>
      </c>
      <c r="V83" s="27">
        <f t="shared" si="28"/>
        <v>1469583.3333333333</v>
      </c>
    </row>
    <row r="84" spans="1:10" ht="12.75" customHeight="1">
      <c r="A84" s="5"/>
      <c r="D84" s="19"/>
      <c r="E84" s="19"/>
      <c r="F84" s="19"/>
      <c r="G84" s="19"/>
      <c r="H84" s="41">
        <v>643</v>
      </c>
      <c r="I84" s="19"/>
      <c r="J84" s="3"/>
    </row>
    <row r="85" spans="1:10" ht="12" customHeight="1">
      <c r="A85" s="5"/>
      <c r="B85" s="7" t="s">
        <v>17</v>
      </c>
      <c r="D85" s="19"/>
      <c r="E85" s="19"/>
      <c r="F85" s="19"/>
      <c r="G85" s="19"/>
      <c r="H85" s="19">
        <v>13307.112</v>
      </c>
      <c r="I85" s="19"/>
      <c r="J85" s="3"/>
    </row>
    <row r="86" spans="1:10" ht="12" customHeight="1">
      <c r="A86" s="5">
        <f>A83+1</f>
        <v>68</v>
      </c>
      <c r="B86" t="s">
        <v>114</v>
      </c>
      <c r="D86" s="92">
        <v>716</v>
      </c>
      <c r="E86" s="92">
        <f>F86-D86</f>
        <v>7</v>
      </c>
      <c r="F86" s="92">
        <v>723</v>
      </c>
      <c r="G86" s="92"/>
      <c r="H86" s="92"/>
      <c r="I86" s="19"/>
      <c r="J86" s="3"/>
    </row>
    <row r="87" spans="1:10" ht="12" customHeight="1">
      <c r="A87" s="5"/>
      <c r="D87" s="19"/>
      <c r="E87" s="19"/>
      <c r="F87" s="19"/>
      <c r="G87" s="19"/>
      <c r="H87" s="19"/>
      <c r="I87" s="19"/>
      <c r="J87" s="3"/>
    </row>
    <row r="88" spans="1:10" ht="12" customHeight="1">
      <c r="A88" s="5"/>
      <c r="B88" s="7" t="s">
        <v>56</v>
      </c>
      <c r="D88" s="19"/>
      <c r="E88" s="19"/>
      <c r="F88" s="19"/>
      <c r="G88" s="19"/>
      <c r="H88" s="19">
        <v>6729</v>
      </c>
      <c r="I88" s="19"/>
      <c r="J88" s="3"/>
    </row>
    <row r="89" spans="1:10" ht="12" customHeight="1">
      <c r="A89" s="5">
        <f>A86+1</f>
        <v>69</v>
      </c>
      <c r="B89" t="s">
        <v>50</v>
      </c>
      <c r="D89" s="92">
        <v>160</v>
      </c>
      <c r="E89" s="92">
        <f>F89-D89</f>
        <v>0</v>
      </c>
      <c r="F89" s="92">
        <v>160</v>
      </c>
      <c r="G89" s="92"/>
      <c r="H89" s="92"/>
      <c r="I89" s="19"/>
      <c r="J89" s="3"/>
    </row>
    <row r="90" spans="1:10" ht="12" customHeight="1">
      <c r="A90" s="5"/>
      <c r="D90" s="19"/>
      <c r="E90" s="19"/>
      <c r="F90" s="19"/>
      <c r="G90" s="19"/>
      <c r="H90" s="19"/>
      <c r="I90" s="19"/>
      <c r="J90" s="3"/>
    </row>
    <row r="91" spans="1:10" ht="12" customHeight="1">
      <c r="A91" s="5">
        <f>A89+1</f>
        <v>70</v>
      </c>
      <c r="B91" s="44" t="s">
        <v>18</v>
      </c>
      <c r="C91" s="37"/>
      <c r="D91" s="45">
        <f>D40+D46+D53+D66+D83+D86+D89</f>
        <v>440570</v>
      </c>
      <c r="E91" s="45">
        <f>F91-D91</f>
        <v>-160173.53084809036</v>
      </c>
      <c r="F91" s="46">
        <f>F40+F46+F53+F66+F83+F86+F89</f>
        <v>280396.46915190964</v>
      </c>
      <c r="G91" s="19"/>
      <c r="H91" s="19">
        <v>133</v>
      </c>
      <c r="I91" s="19"/>
      <c r="J91" s="3"/>
    </row>
    <row r="92" spans="1:10" ht="12" customHeight="1">
      <c r="A92" s="5"/>
      <c r="B92" s="2"/>
      <c r="D92" s="19"/>
      <c r="E92" s="19"/>
      <c r="F92" s="19"/>
      <c r="G92" s="19"/>
      <c r="H92" s="41"/>
      <c r="I92" s="19"/>
      <c r="J92" s="3"/>
    </row>
    <row r="93" spans="1:22" ht="12" customHeight="1">
      <c r="A93" s="5"/>
      <c r="B93" s="7" t="s">
        <v>19</v>
      </c>
      <c r="D93" s="19"/>
      <c r="E93" s="19"/>
      <c r="F93" s="19"/>
      <c r="G93" s="19"/>
      <c r="H93" s="45">
        <v>188457.26014905036</v>
      </c>
      <c r="I93" s="19"/>
      <c r="J93" s="3"/>
      <c r="K93" s="50">
        <v>36525</v>
      </c>
      <c r="L93" s="50">
        <v>36556</v>
      </c>
      <c r="M93" s="50">
        <v>36585</v>
      </c>
      <c r="N93" s="50">
        <v>36616</v>
      </c>
      <c r="O93" s="50">
        <v>36646</v>
      </c>
      <c r="P93" s="50">
        <v>36677</v>
      </c>
      <c r="Q93" s="50">
        <v>36707</v>
      </c>
      <c r="R93" s="50">
        <v>36738</v>
      </c>
      <c r="S93" s="50">
        <v>36769</v>
      </c>
      <c r="T93" s="50">
        <v>36799</v>
      </c>
      <c r="U93" s="50">
        <v>36830</v>
      </c>
      <c r="V93" s="50">
        <v>36860</v>
      </c>
    </row>
    <row r="94" spans="1:22" ht="12.75" customHeight="1">
      <c r="A94" s="5">
        <f>A91+1</f>
        <v>71</v>
      </c>
      <c r="B94" t="s">
        <v>197</v>
      </c>
      <c r="D94" s="19">
        <v>0</v>
      </c>
      <c r="E94" s="19">
        <f aca="true" t="shared" si="29" ref="E94:E105">F94-D94</f>
        <v>35746.2855308342</v>
      </c>
      <c r="F94" s="19">
        <f>-'WGJ-4'!C9/1000</f>
        <v>35746.2855308342</v>
      </c>
      <c r="G94" s="19"/>
      <c r="H94" s="19"/>
      <c r="I94" s="18"/>
      <c r="J94" s="3">
        <f>SUM(K94:V94)/1000</f>
        <v>35746.2855308342</v>
      </c>
      <c r="K94" s="27">
        <f>-'WGJ-4'!D9</f>
        <v>1683760.221862793</v>
      </c>
      <c r="L94" s="27">
        <f>-'WGJ-4'!E9</f>
        <v>2443917.8764152527</v>
      </c>
      <c r="M94" s="27">
        <f>-'WGJ-4'!F9</f>
        <v>2276567.6919555664</v>
      </c>
      <c r="N94" s="27">
        <f>-'WGJ-4'!G9</f>
        <v>2938335.60546875</v>
      </c>
      <c r="O94" s="27">
        <f>-'WGJ-4'!H9</f>
        <v>3638140.7666015625</v>
      </c>
      <c r="P94" s="27">
        <f>-'WGJ-4'!I9</f>
        <v>3864578.5205078125</v>
      </c>
      <c r="Q94" s="27">
        <f>-'WGJ-4'!J9</f>
        <v>5564758.474121094</v>
      </c>
      <c r="R94" s="27">
        <f>-'WGJ-4'!K9</f>
        <v>2967236.2255859375</v>
      </c>
      <c r="S94" s="27">
        <f>-'WGJ-4'!L9</f>
        <v>2891893.2788085938</v>
      </c>
      <c r="T94" s="27">
        <f>-'WGJ-4'!M9</f>
        <v>1123120.5096435547</v>
      </c>
      <c r="U94" s="27">
        <f>-'WGJ-4'!N9</f>
        <v>1953493.197631836</v>
      </c>
      <c r="V94" s="27">
        <f>-'WGJ-4'!O9</f>
        <v>4400483.162231445</v>
      </c>
    </row>
    <row r="95" spans="1:22" ht="12.75" customHeight="1">
      <c r="A95" s="5">
        <f aca="true" t="shared" si="30" ref="A95:A103">A94+1</f>
        <v>72</v>
      </c>
      <c r="B95" t="s">
        <v>251</v>
      </c>
      <c r="D95" s="92">
        <v>158707</v>
      </c>
      <c r="E95" s="19">
        <f t="shared" si="29"/>
        <v>-158707</v>
      </c>
      <c r="F95" s="92">
        <v>0</v>
      </c>
      <c r="G95" s="19"/>
      <c r="H95" s="19"/>
      <c r="I95" s="18"/>
      <c r="J95" s="3">
        <f>SUM(K95:V95)/1000</f>
        <v>0</v>
      </c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1:22" ht="12.75" customHeight="1">
      <c r="A96" s="5">
        <f t="shared" si="30"/>
        <v>73</v>
      </c>
      <c r="B96" t="s">
        <v>250</v>
      </c>
      <c r="D96" s="92">
        <v>0</v>
      </c>
      <c r="E96" s="19">
        <f t="shared" si="29"/>
        <v>93</v>
      </c>
      <c r="F96" s="92">
        <v>93</v>
      </c>
      <c r="G96" s="19"/>
      <c r="H96" s="19"/>
      <c r="I96" s="18"/>
      <c r="J96" s="3">
        <f>SUM(K96:V96)/1000</f>
        <v>93.2904180908205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31500.6606540433</v>
      </c>
      <c r="R96" s="27">
        <v>31500.6606540433</v>
      </c>
      <c r="S96" s="27">
        <v>30289.0967827339</v>
      </c>
      <c r="T96" s="27">
        <v>0</v>
      </c>
      <c r="U96" s="27">
        <v>0</v>
      </c>
      <c r="V96" s="27">
        <v>0</v>
      </c>
    </row>
    <row r="97" spans="1:22" ht="12.75">
      <c r="A97" s="5">
        <f t="shared" si="30"/>
        <v>74</v>
      </c>
      <c r="B97" s="6" t="s">
        <v>125</v>
      </c>
      <c r="D97" s="92">
        <v>1748</v>
      </c>
      <c r="E97" s="19">
        <f t="shared" si="29"/>
        <v>0</v>
      </c>
      <c r="F97" s="19">
        <v>1748</v>
      </c>
      <c r="G97" s="19"/>
      <c r="H97" s="19"/>
      <c r="I97" s="19"/>
      <c r="J97" s="3">
        <f aca="true" t="shared" si="31" ref="J97:J106">SUM(K97:V97)/1000</f>
        <v>1748.0000000000002</v>
      </c>
      <c r="K97" s="27">
        <f aca="true" t="shared" si="32" ref="K97:K105">$F97/12*1000</f>
        <v>145666.66666666666</v>
      </c>
      <c r="L97" s="27">
        <f aca="true" t="shared" si="33" ref="L97:V97">$F97/12*1000</f>
        <v>145666.66666666666</v>
      </c>
      <c r="M97" s="27">
        <f t="shared" si="33"/>
        <v>145666.66666666666</v>
      </c>
      <c r="N97" s="27">
        <f t="shared" si="33"/>
        <v>145666.66666666666</v>
      </c>
      <c r="O97" s="27">
        <f t="shared" si="33"/>
        <v>145666.66666666666</v>
      </c>
      <c r="P97" s="27">
        <f t="shared" si="33"/>
        <v>145666.66666666666</v>
      </c>
      <c r="Q97" s="27">
        <f t="shared" si="33"/>
        <v>145666.66666666666</v>
      </c>
      <c r="R97" s="27">
        <f t="shared" si="33"/>
        <v>145666.66666666666</v>
      </c>
      <c r="S97" s="27">
        <f t="shared" si="33"/>
        <v>145666.66666666666</v>
      </c>
      <c r="T97" s="27">
        <f t="shared" si="33"/>
        <v>145666.66666666666</v>
      </c>
      <c r="U97" s="27">
        <f t="shared" si="33"/>
        <v>145666.66666666666</v>
      </c>
      <c r="V97" s="27">
        <f t="shared" si="33"/>
        <v>145666.66666666666</v>
      </c>
    </row>
    <row r="98" spans="1:22" ht="12.75">
      <c r="A98" s="5">
        <f t="shared" si="30"/>
        <v>75</v>
      </c>
      <c r="B98" t="s">
        <v>34</v>
      </c>
      <c r="D98" s="100">
        <v>1642</v>
      </c>
      <c r="E98" s="19">
        <f t="shared" si="29"/>
        <v>1594.0710807606893</v>
      </c>
      <c r="F98" s="92">
        <f>Index!C14/1000</f>
        <v>3236.0710807606893</v>
      </c>
      <c r="G98" s="127" t="s">
        <v>138</v>
      </c>
      <c r="H98" s="100">
        <v>1800</v>
      </c>
      <c r="I98" s="96" t="s">
        <v>138</v>
      </c>
      <c r="J98" s="3">
        <f t="shared" si="31"/>
        <v>3236.0710807606893</v>
      </c>
      <c r="K98" s="27">
        <f>Index!D14</f>
        <v>314460.8336444092</v>
      </c>
      <c r="L98" s="27">
        <f>Index!E14</f>
        <v>282096.1440911865</v>
      </c>
      <c r="M98" s="27">
        <f>Index!F14</f>
        <v>283283.59649665834</v>
      </c>
      <c r="N98" s="27">
        <f>Index!G14</f>
        <v>216189.35636215212</v>
      </c>
      <c r="O98" s="27">
        <f>Index!H14</f>
        <v>176478.4082787323</v>
      </c>
      <c r="P98" s="27">
        <f>Index!I14</f>
        <v>169416.3817045212</v>
      </c>
      <c r="Q98" s="27">
        <f>Index!J14</f>
        <v>259179.64187690735</v>
      </c>
      <c r="R98" s="27">
        <f>Index!K14</f>
        <v>313266.8996557617</v>
      </c>
      <c r="S98" s="27">
        <f>Index!L14</f>
        <v>292663.8670578003</v>
      </c>
      <c r="T98" s="27">
        <f>Index!M14</f>
        <v>278558.80596221925</v>
      </c>
      <c r="U98" s="27">
        <f>Index!N14</f>
        <v>303961.8676712036</v>
      </c>
      <c r="V98" s="27">
        <f>Index!O14</f>
        <v>346515.277959137</v>
      </c>
    </row>
    <row r="99" spans="1:22" ht="12.75">
      <c r="A99" s="5">
        <f t="shared" si="30"/>
        <v>76</v>
      </c>
      <c r="B99" t="s">
        <v>133</v>
      </c>
      <c r="D99" s="100">
        <v>511</v>
      </c>
      <c r="E99" s="19">
        <f t="shared" si="29"/>
        <v>-432</v>
      </c>
      <c r="F99" s="92">
        <v>79</v>
      </c>
      <c r="G99" s="20"/>
      <c r="H99" s="20">
        <v>-63</v>
      </c>
      <c r="J99" s="3">
        <f t="shared" si="31"/>
        <v>79</v>
      </c>
      <c r="K99" s="27">
        <f t="shared" si="32"/>
        <v>6583.333333333333</v>
      </c>
      <c r="L99" s="27">
        <f aca="true" t="shared" si="34" ref="L99:V105">$F99/12*1000</f>
        <v>6583.333333333333</v>
      </c>
      <c r="M99" s="27">
        <f t="shared" si="34"/>
        <v>6583.333333333333</v>
      </c>
      <c r="N99" s="27">
        <f t="shared" si="34"/>
        <v>6583.333333333333</v>
      </c>
      <c r="O99" s="27">
        <f t="shared" si="34"/>
        <v>6583.333333333333</v>
      </c>
      <c r="P99" s="27">
        <f t="shared" si="34"/>
        <v>6583.333333333333</v>
      </c>
      <c r="Q99" s="27">
        <f t="shared" si="34"/>
        <v>6583.333333333333</v>
      </c>
      <c r="R99" s="27">
        <f t="shared" si="34"/>
        <v>6583.333333333333</v>
      </c>
      <c r="S99" s="27">
        <f t="shared" si="34"/>
        <v>6583.333333333333</v>
      </c>
      <c r="T99" s="27">
        <f t="shared" si="34"/>
        <v>6583.333333333333</v>
      </c>
      <c r="U99" s="27">
        <f t="shared" si="34"/>
        <v>6583.333333333333</v>
      </c>
      <c r="V99" s="27">
        <f t="shared" si="34"/>
        <v>6583.333333333333</v>
      </c>
    </row>
    <row r="100" spans="1:22" ht="12.75">
      <c r="A100" s="5">
        <f t="shared" si="30"/>
        <v>77</v>
      </c>
      <c r="B100" t="s">
        <v>35</v>
      </c>
      <c r="D100" s="100">
        <v>613</v>
      </c>
      <c r="E100" s="19">
        <f t="shared" si="29"/>
        <v>-154</v>
      </c>
      <c r="F100" s="92">
        <v>459</v>
      </c>
      <c r="G100" s="81"/>
      <c r="H100" s="81">
        <v>272</v>
      </c>
      <c r="J100" s="3">
        <f t="shared" si="31"/>
        <v>459</v>
      </c>
      <c r="K100" s="27">
        <f t="shared" si="32"/>
        <v>38250</v>
      </c>
      <c r="L100" s="27">
        <f t="shared" si="34"/>
        <v>38250</v>
      </c>
      <c r="M100" s="27">
        <f t="shared" si="34"/>
        <v>38250</v>
      </c>
      <c r="N100" s="27">
        <f t="shared" si="34"/>
        <v>38250</v>
      </c>
      <c r="O100" s="27">
        <f t="shared" si="34"/>
        <v>38250</v>
      </c>
      <c r="P100" s="27">
        <f t="shared" si="34"/>
        <v>38250</v>
      </c>
      <c r="Q100" s="27">
        <f t="shared" si="34"/>
        <v>38250</v>
      </c>
      <c r="R100" s="27">
        <f t="shared" si="34"/>
        <v>38250</v>
      </c>
      <c r="S100" s="27">
        <f t="shared" si="34"/>
        <v>38250</v>
      </c>
      <c r="T100" s="27">
        <f t="shared" si="34"/>
        <v>38250</v>
      </c>
      <c r="U100" s="27">
        <f t="shared" si="34"/>
        <v>38250</v>
      </c>
      <c r="V100" s="27">
        <f t="shared" si="34"/>
        <v>38250</v>
      </c>
    </row>
    <row r="101" spans="1:22" ht="12.75">
      <c r="A101" s="5">
        <f t="shared" si="30"/>
        <v>78</v>
      </c>
      <c r="B101" t="s">
        <v>134</v>
      </c>
      <c r="D101" s="100">
        <v>4554</v>
      </c>
      <c r="E101" s="19">
        <f t="shared" si="29"/>
        <v>-4494</v>
      </c>
      <c r="F101" s="92">
        <v>60</v>
      </c>
      <c r="G101" s="96"/>
      <c r="H101" s="20">
        <v>69</v>
      </c>
      <c r="J101" s="3">
        <f t="shared" si="31"/>
        <v>60</v>
      </c>
      <c r="K101" s="27">
        <f t="shared" si="32"/>
        <v>5000</v>
      </c>
      <c r="L101" s="27">
        <f t="shared" si="34"/>
        <v>5000</v>
      </c>
      <c r="M101" s="27">
        <f t="shared" si="34"/>
        <v>5000</v>
      </c>
      <c r="N101" s="27">
        <f t="shared" si="34"/>
        <v>5000</v>
      </c>
      <c r="O101" s="27">
        <f t="shared" si="34"/>
        <v>5000</v>
      </c>
      <c r="P101" s="27">
        <f t="shared" si="34"/>
        <v>5000</v>
      </c>
      <c r="Q101" s="27">
        <f t="shared" si="34"/>
        <v>5000</v>
      </c>
      <c r="R101" s="27">
        <f t="shared" si="34"/>
        <v>5000</v>
      </c>
      <c r="S101" s="27">
        <f t="shared" si="34"/>
        <v>5000</v>
      </c>
      <c r="T101" s="27">
        <f t="shared" si="34"/>
        <v>5000</v>
      </c>
      <c r="U101" s="27">
        <f t="shared" si="34"/>
        <v>5000</v>
      </c>
      <c r="V101" s="27">
        <f t="shared" si="34"/>
        <v>5000</v>
      </c>
    </row>
    <row r="102" spans="1:22" ht="12.75">
      <c r="A102" s="5">
        <f t="shared" si="30"/>
        <v>79</v>
      </c>
      <c r="B102" t="s">
        <v>240</v>
      </c>
      <c r="D102" s="100">
        <v>313</v>
      </c>
      <c r="E102" s="19">
        <f t="shared" si="29"/>
        <v>-313</v>
      </c>
      <c r="F102" s="92">
        <v>0</v>
      </c>
      <c r="G102" s="96"/>
      <c r="H102" s="20"/>
      <c r="J102" s="3">
        <f t="shared" si="31"/>
        <v>0</v>
      </c>
      <c r="K102" s="27">
        <f t="shared" si="32"/>
        <v>0</v>
      </c>
      <c r="L102" s="27">
        <f t="shared" si="34"/>
        <v>0</v>
      </c>
      <c r="M102" s="27">
        <f t="shared" si="34"/>
        <v>0</v>
      </c>
      <c r="N102" s="27">
        <f t="shared" si="34"/>
        <v>0</v>
      </c>
      <c r="O102" s="27">
        <f t="shared" si="34"/>
        <v>0</v>
      </c>
      <c r="P102" s="27">
        <f t="shared" si="34"/>
        <v>0</v>
      </c>
      <c r="Q102" s="27">
        <f t="shared" si="34"/>
        <v>0</v>
      </c>
      <c r="R102" s="27">
        <f t="shared" si="34"/>
        <v>0</v>
      </c>
      <c r="S102" s="27">
        <f t="shared" si="34"/>
        <v>0</v>
      </c>
      <c r="T102" s="27">
        <f t="shared" si="34"/>
        <v>0</v>
      </c>
      <c r="U102" s="27">
        <f t="shared" si="34"/>
        <v>0</v>
      </c>
      <c r="V102" s="27">
        <f t="shared" si="34"/>
        <v>0</v>
      </c>
    </row>
    <row r="103" spans="1:22" ht="12.75">
      <c r="A103" s="5">
        <f t="shared" si="30"/>
        <v>80</v>
      </c>
      <c r="B103" t="s">
        <v>171</v>
      </c>
      <c r="D103" s="100">
        <v>27648</v>
      </c>
      <c r="E103" s="19">
        <f t="shared" si="29"/>
        <v>-22247</v>
      </c>
      <c r="F103" s="19">
        <v>5401</v>
      </c>
      <c r="G103" s="20"/>
      <c r="H103" s="20"/>
      <c r="J103" s="3">
        <f t="shared" si="31"/>
        <v>5400.661424412265</v>
      </c>
      <c r="K103" s="27">
        <v>395573.13178800023</v>
      </c>
      <c r="L103" s="27">
        <v>289048.8621479999</v>
      </c>
      <c r="M103" s="27">
        <v>398186.87859049987</v>
      </c>
      <c r="N103" s="27">
        <v>663638.4551880006</v>
      </c>
      <c r="O103" s="27">
        <v>682870.976868</v>
      </c>
      <c r="P103" s="27">
        <v>661730.6807879994</v>
      </c>
      <c r="Q103" s="27">
        <v>439914.2849879998</v>
      </c>
      <c r="R103" s="27">
        <v>495645.30034800014</v>
      </c>
      <c r="S103" s="27">
        <v>405215.7155879997</v>
      </c>
      <c r="T103" s="27">
        <v>306066.6561480003</v>
      </c>
      <c r="U103" s="27">
        <v>375875.41004799923</v>
      </c>
      <c r="V103" s="27">
        <v>286895.07192176464</v>
      </c>
    </row>
    <row r="104" spans="1:22" ht="12.75">
      <c r="A104" s="5">
        <f>A103+1</f>
        <v>81</v>
      </c>
      <c r="B104" t="s">
        <v>172</v>
      </c>
      <c r="D104" s="100">
        <v>686</v>
      </c>
      <c r="E104" s="19">
        <f t="shared" si="29"/>
        <v>-686</v>
      </c>
      <c r="F104" s="19">
        <v>0</v>
      </c>
      <c r="G104" s="20"/>
      <c r="H104" s="20"/>
      <c r="J104" s="3">
        <f t="shared" si="31"/>
        <v>0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ht="12.75">
      <c r="A105" s="5">
        <f>A104+1</f>
        <v>82</v>
      </c>
      <c r="B105" s="17" t="s">
        <v>168</v>
      </c>
      <c r="C105" s="17"/>
      <c r="D105" s="93">
        <v>1233</v>
      </c>
      <c r="E105" s="41">
        <f t="shared" si="29"/>
        <v>-1233</v>
      </c>
      <c r="F105" s="41">
        <v>0</v>
      </c>
      <c r="G105" s="20"/>
      <c r="H105" s="20">
        <v>324</v>
      </c>
      <c r="J105" s="3">
        <f t="shared" si="31"/>
        <v>0</v>
      </c>
      <c r="K105" s="27">
        <f t="shared" si="32"/>
        <v>0</v>
      </c>
      <c r="L105" s="27">
        <f t="shared" si="34"/>
        <v>0</v>
      </c>
      <c r="M105" s="27">
        <f t="shared" si="34"/>
        <v>0</v>
      </c>
      <c r="N105" s="27">
        <f t="shared" si="34"/>
        <v>0</v>
      </c>
      <c r="O105" s="27">
        <f t="shared" si="34"/>
        <v>0</v>
      </c>
      <c r="P105" s="27">
        <f t="shared" si="34"/>
        <v>0</v>
      </c>
      <c r="Q105" s="27">
        <f t="shared" si="34"/>
        <v>0</v>
      </c>
      <c r="R105" s="27">
        <f t="shared" si="34"/>
        <v>0</v>
      </c>
      <c r="S105" s="27">
        <f t="shared" si="34"/>
        <v>0</v>
      </c>
      <c r="T105" s="27">
        <f t="shared" si="34"/>
        <v>0</v>
      </c>
      <c r="U105" s="27">
        <f t="shared" si="34"/>
        <v>0</v>
      </c>
      <c r="V105" s="27">
        <f t="shared" si="34"/>
        <v>0</v>
      </c>
    </row>
    <row r="106" spans="1:22" ht="12.75">
      <c r="A106" s="5">
        <f>A105+1</f>
        <v>83</v>
      </c>
      <c r="B106" t="s">
        <v>20</v>
      </c>
      <c r="D106" s="19">
        <f>SUM(D94:D105)</f>
        <v>197655</v>
      </c>
      <c r="E106" s="19">
        <f>F106-D106</f>
        <v>-150832.64338840512</v>
      </c>
      <c r="F106" s="19">
        <f>SUM(F94:F105)</f>
        <v>46822.356611594885</v>
      </c>
      <c r="G106" s="19"/>
      <c r="H106" s="41">
        <v>0</v>
      </c>
      <c r="I106" s="19"/>
      <c r="J106" s="3">
        <f t="shared" si="31"/>
        <v>46822.30845409797</v>
      </c>
      <c r="K106" s="27">
        <f aca="true" t="shared" si="35" ref="K106:V106">SUM(K94:K105)</f>
        <v>2589294.187295202</v>
      </c>
      <c r="L106" s="27">
        <f t="shared" si="35"/>
        <v>3210562.882654439</v>
      </c>
      <c r="M106" s="27">
        <f t="shared" si="35"/>
        <v>3153538.167042725</v>
      </c>
      <c r="N106" s="27">
        <f t="shared" si="35"/>
        <v>4013663.4170189025</v>
      </c>
      <c r="O106" s="27">
        <f t="shared" si="35"/>
        <v>4692990.151748295</v>
      </c>
      <c r="P106" s="27">
        <f t="shared" si="35"/>
        <v>4891225.583000333</v>
      </c>
      <c r="Q106" s="27">
        <f t="shared" si="35"/>
        <v>6490853.061640044</v>
      </c>
      <c r="R106" s="27">
        <f t="shared" si="35"/>
        <v>4003149.0862437426</v>
      </c>
      <c r="S106" s="27">
        <f t="shared" si="35"/>
        <v>3815561.9582371274</v>
      </c>
      <c r="T106" s="27">
        <f t="shared" si="35"/>
        <v>1903245.9717537742</v>
      </c>
      <c r="U106" s="27">
        <f t="shared" si="35"/>
        <v>2828830.475351039</v>
      </c>
      <c r="V106" s="27">
        <f t="shared" si="35"/>
        <v>5229393.512112347</v>
      </c>
    </row>
    <row r="107" spans="1:22" ht="12.75">
      <c r="A107" s="5"/>
      <c r="D107" s="19"/>
      <c r="E107" s="19"/>
      <c r="F107" s="19"/>
      <c r="G107" s="19"/>
      <c r="H107" s="19">
        <v>62060.890920372694</v>
      </c>
      <c r="I107" s="1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10" ht="12.75">
      <c r="A108" s="5"/>
      <c r="B108" s="7" t="s">
        <v>21</v>
      </c>
      <c r="D108" s="19"/>
      <c r="E108" s="19" t="s">
        <v>11</v>
      </c>
      <c r="F108" s="19"/>
      <c r="G108" s="19"/>
      <c r="H108" s="19"/>
      <c r="I108" s="19"/>
      <c r="J108" s="3"/>
    </row>
    <row r="109" spans="1:10" ht="12.75">
      <c r="A109" s="5">
        <f>A106+1</f>
        <v>84</v>
      </c>
      <c r="B109" t="s">
        <v>169</v>
      </c>
      <c r="D109" s="92">
        <v>144</v>
      </c>
      <c r="E109" s="92">
        <f>F109-D109</f>
        <v>-144</v>
      </c>
      <c r="F109" s="92">
        <v>0</v>
      </c>
      <c r="G109" s="92"/>
      <c r="H109" s="92"/>
      <c r="I109" s="19"/>
      <c r="J109" s="3"/>
    </row>
    <row r="110" spans="1:10" ht="12.75">
      <c r="A110" s="5">
        <f>A109+1</f>
        <v>85</v>
      </c>
      <c r="B110" s="17" t="s">
        <v>106</v>
      </c>
      <c r="C110" s="17"/>
      <c r="D110" s="19">
        <v>33137</v>
      </c>
      <c r="E110" s="41">
        <f>F110-D110</f>
        <v>-33137</v>
      </c>
      <c r="F110" s="19">
        <v>0</v>
      </c>
      <c r="G110" s="19"/>
      <c r="H110" s="19">
        <v>48</v>
      </c>
      <c r="I110" s="19"/>
      <c r="J110" s="3"/>
    </row>
    <row r="111" spans="1:10" ht="12.75">
      <c r="A111" s="5">
        <f>A110+1</f>
        <v>86</v>
      </c>
      <c r="B111" t="s">
        <v>22</v>
      </c>
      <c r="D111" s="108">
        <f>SUM(D109:D110)</f>
        <v>33281</v>
      </c>
      <c r="E111" s="19">
        <f>F111-D111</f>
        <v>-33281</v>
      </c>
      <c r="F111" s="21">
        <f>SUM(F109:F110)</f>
        <v>0</v>
      </c>
      <c r="G111" s="19"/>
      <c r="H111" s="19">
        <v>0</v>
      </c>
      <c r="I111" s="19"/>
      <c r="J111" s="3"/>
    </row>
    <row r="112" spans="1:10" ht="7.5" customHeight="1">
      <c r="A112" s="5" t="s">
        <v>11</v>
      </c>
      <c r="D112" s="19"/>
      <c r="E112" s="19"/>
      <c r="F112" s="19"/>
      <c r="G112" s="19"/>
      <c r="H112" s="41">
        <v>0</v>
      </c>
      <c r="I112" s="19"/>
      <c r="J112" s="3"/>
    </row>
    <row r="113" spans="1:10" ht="12.75">
      <c r="A113" s="5"/>
      <c r="B113" s="47" t="s">
        <v>31</v>
      </c>
      <c r="D113" s="19"/>
      <c r="E113" s="19"/>
      <c r="F113" s="19" t="s">
        <v>11</v>
      </c>
      <c r="G113" s="19"/>
      <c r="H113" s="19">
        <v>48</v>
      </c>
      <c r="I113" s="19"/>
      <c r="J113" s="3"/>
    </row>
    <row r="114" spans="1:10" ht="12.75">
      <c r="A114" s="5">
        <f>A111+1</f>
        <v>87</v>
      </c>
      <c r="B114" t="s">
        <v>28</v>
      </c>
      <c r="D114" s="92">
        <v>381</v>
      </c>
      <c r="E114" s="92">
        <f>F114-D114</f>
        <v>-20</v>
      </c>
      <c r="F114" s="92">
        <v>361</v>
      </c>
      <c r="G114" s="92"/>
      <c r="H114" s="92"/>
      <c r="I114" s="19"/>
      <c r="J114" s="3"/>
    </row>
    <row r="115" spans="1:10" ht="6.75" customHeight="1">
      <c r="A115" s="5"/>
      <c r="D115" s="92"/>
      <c r="E115" s="19"/>
      <c r="F115" s="92"/>
      <c r="G115" s="19"/>
      <c r="H115" s="19" t="s">
        <v>11</v>
      </c>
      <c r="I115" s="19"/>
      <c r="J115" s="3"/>
    </row>
    <row r="116" spans="1:10" ht="12.75">
      <c r="A116" s="5"/>
      <c r="B116" s="47" t="s">
        <v>58</v>
      </c>
      <c r="D116" s="92"/>
      <c r="E116" s="19"/>
      <c r="F116" s="92"/>
      <c r="G116" s="19"/>
      <c r="H116" s="19">
        <v>365</v>
      </c>
      <c r="I116" s="19"/>
      <c r="J116" s="3"/>
    </row>
    <row r="117" spans="1:10" ht="12.75">
      <c r="A117" s="5">
        <f>A114+1</f>
        <v>88</v>
      </c>
      <c r="B117" t="s">
        <v>59</v>
      </c>
      <c r="D117" s="92">
        <v>29</v>
      </c>
      <c r="E117" s="92">
        <f>F117-D117</f>
        <v>0</v>
      </c>
      <c r="F117" s="92">
        <v>29</v>
      </c>
      <c r="G117" s="92"/>
      <c r="H117" s="92"/>
      <c r="I117" s="19"/>
      <c r="J117" s="3"/>
    </row>
    <row r="118" spans="1:10" ht="6" customHeight="1">
      <c r="A118" s="5"/>
      <c r="D118" s="19"/>
      <c r="E118" s="19"/>
      <c r="F118" s="19"/>
      <c r="G118" s="19"/>
      <c r="H118" s="19"/>
      <c r="I118" s="19"/>
      <c r="J118" s="3"/>
    </row>
    <row r="119" spans="1:10" ht="12.75">
      <c r="A119" s="5">
        <f>A117+1</f>
        <v>89</v>
      </c>
      <c r="B119" s="44" t="s">
        <v>23</v>
      </c>
      <c r="C119" s="37"/>
      <c r="D119" s="45">
        <f>D106+D111+D114+D117</f>
        <v>231346</v>
      </c>
      <c r="E119" s="45">
        <f>F119-D119</f>
        <v>-184133.64338840512</v>
      </c>
      <c r="F119" s="46">
        <f>F106+F111+F114+F117</f>
        <v>47212.356611594885</v>
      </c>
      <c r="G119" s="19"/>
      <c r="H119" s="19">
        <v>24</v>
      </c>
      <c r="I119" s="19"/>
      <c r="J119" s="3"/>
    </row>
    <row r="120" spans="1:10" ht="7.5" customHeight="1">
      <c r="A120" s="5"/>
      <c r="D120" s="19"/>
      <c r="E120" s="19"/>
      <c r="F120" s="19"/>
      <c r="G120" s="19"/>
      <c r="H120" s="19"/>
      <c r="I120" s="19"/>
      <c r="J120" s="3"/>
    </row>
    <row r="121" spans="1:10" ht="12.75">
      <c r="A121" s="5">
        <f>A119+1</f>
        <v>90</v>
      </c>
      <c r="B121" s="44" t="s">
        <v>170</v>
      </c>
      <c r="C121" s="37"/>
      <c r="D121" s="45">
        <f>D91-D119</f>
        <v>209224</v>
      </c>
      <c r="E121" s="45">
        <f>F121-D121</f>
        <v>23960.11254031476</v>
      </c>
      <c r="F121" s="46">
        <f>F91-F119</f>
        <v>233184.11254031476</v>
      </c>
      <c r="G121" s="19"/>
      <c r="H121" s="45">
        <v>62497.890920372694</v>
      </c>
      <c r="I121" s="19"/>
      <c r="J121" s="3"/>
    </row>
    <row r="122" spans="1:10" ht="6" customHeight="1">
      <c r="A122" s="5"/>
      <c r="D122" s="19"/>
      <c r="E122" s="19"/>
      <c r="F122" s="19"/>
      <c r="G122" s="19"/>
      <c r="H122" s="19"/>
      <c r="I122" s="19"/>
      <c r="J122" s="3"/>
    </row>
    <row r="123" spans="1:10" ht="12.75" customHeight="1">
      <c r="A123" s="5">
        <f>A121+1</f>
        <v>91</v>
      </c>
      <c r="B123" s="2" t="s">
        <v>252</v>
      </c>
      <c r="D123" s="19"/>
      <c r="E123" s="3">
        <f>-E36</f>
        <v>19413</v>
      </c>
      <c r="F123" s="19"/>
      <c r="G123" s="19"/>
      <c r="H123" s="19"/>
      <c r="I123" s="19"/>
      <c r="J123" s="3"/>
    </row>
    <row r="124" spans="1:10" ht="9" customHeight="1">
      <c r="A124" s="5"/>
      <c r="B124" s="111"/>
      <c r="D124" s="19"/>
      <c r="E124" s="19"/>
      <c r="F124" s="19"/>
      <c r="G124" s="19"/>
      <c r="H124" s="19"/>
      <c r="I124" s="19"/>
      <c r="J124" s="3"/>
    </row>
    <row r="125" spans="1:10" ht="12.75" customHeight="1">
      <c r="A125" s="5">
        <f>A123+1</f>
        <v>92</v>
      </c>
      <c r="B125" s="2" t="s">
        <v>253</v>
      </c>
      <c r="D125" s="3"/>
      <c r="E125" s="3">
        <f>E121+E123</f>
        <v>43373.11254031476</v>
      </c>
      <c r="J125" s="3"/>
    </row>
    <row r="126" ht="12.75">
      <c r="J126" s="3"/>
    </row>
    <row r="127" spans="2:22" ht="12.75">
      <c r="B127" t="s">
        <v>147</v>
      </c>
      <c r="J127" s="3">
        <f>SUM(K127:V127)</f>
        <v>214570565.82958335</v>
      </c>
      <c r="K127" s="27">
        <f aca="true" t="shared" si="36" ref="K127:V127">K40+K53+K66-K106</f>
        <v>26251694.925117623</v>
      </c>
      <c r="L127" s="27">
        <f t="shared" si="36"/>
        <v>22265293.576387372</v>
      </c>
      <c r="M127" s="27">
        <f t="shared" si="36"/>
        <v>20683295.64374583</v>
      </c>
      <c r="N127" s="27">
        <f t="shared" si="36"/>
        <v>9318672.235319234</v>
      </c>
      <c r="O127" s="27">
        <f t="shared" si="36"/>
        <v>5030255.6660055565</v>
      </c>
      <c r="P127" s="27">
        <f t="shared" si="36"/>
        <v>5565349.1487155305</v>
      </c>
      <c r="Q127" s="27">
        <f t="shared" si="36"/>
        <v>14109628.78372224</v>
      </c>
      <c r="R127" s="27">
        <f t="shared" si="36"/>
        <v>21614183.484231077</v>
      </c>
      <c r="S127" s="27">
        <f t="shared" si="36"/>
        <v>19622073.636441655</v>
      </c>
      <c r="T127" s="27">
        <f t="shared" si="36"/>
        <v>21742196.828999348</v>
      </c>
      <c r="U127" s="27">
        <f t="shared" si="36"/>
        <v>25664821.103857655</v>
      </c>
      <c r="V127" s="27">
        <f t="shared" si="36"/>
        <v>22703100.79704024</v>
      </c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  <row r="403" ht="12.75">
      <c r="J403" s="3"/>
    </row>
    <row r="404" ht="12.75">
      <c r="J404" s="3"/>
    </row>
    <row r="405" ht="12.75">
      <c r="J405" s="3"/>
    </row>
    <row r="406" ht="12.75">
      <c r="J406" s="3"/>
    </row>
    <row r="407" ht="12.75">
      <c r="J407" s="3"/>
    </row>
    <row r="408" ht="12.75">
      <c r="J408" s="3"/>
    </row>
    <row r="409" ht="12.75">
      <c r="J409" s="3"/>
    </row>
    <row r="410" ht="12.75">
      <c r="J410" s="3"/>
    </row>
    <row r="411" ht="12.75">
      <c r="J411" s="3"/>
    </row>
    <row r="412" ht="12.75">
      <c r="J412" s="3"/>
    </row>
    <row r="413" ht="12.75">
      <c r="J413" s="3"/>
    </row>
    <row r="414" ht="12.75">
      <c r="J414" s="3"/>
    </row>
    <row r="415" ht="12.75">
      <c r="J415" s="3"/>
    </row>
    <row r="416" ht="12.75">
      <c r="J416" s="3"/>
    </row>
    <row r="417" ht="12.75">
      <c r="J417" s="3"/>
    </row>
    <row r="418" ht="12.75">
      <c r="J418" s="3"/>
    </row>
    <row r="419" ht="12.75">
      <c r="J419" s="3"/>
    </row>
    <row r="420" ht="12.75">
      <c r="J420" s="3"/>
    </row>
    <row r="421" ht="12.75">
      <c r="J421" s="3"/>
    </row>
    <row r="422" ht="12.75">
      <c r="J422" s="3"/>
    </row>
    <row r="423" ht="12.75">
      <c r="J423" s="3"/>
    </row>
    <row r="424" ht="12.75">
      <c r="J424" s="3"/>
    </row>
    <row r="425" ht="12.75">
      <c r="J425" s="3"/>
    </row>
    <row r="426" ht="12.75">
      <c r="J426" s="3"/>
    </row>
    <row r="427" ht="12.75">
      <c r="J427" s="3"/>
    </row>
    <row r="428" ht="12.75">
      <c r="J428" s="3"/>
    </row>
    <row r="429" ht="12.75">
      <c r="J429" s="3"/>
    </row>
    <row r="430" ht="12.75">
      <c r="J430" s="3"/>
    </row>
    <row r="431" ht="12.75">
      <c r="J431" s="3"/>
    </row>
    <row r="432" ht="12.75">
      <c r="J432" s="3"/>
    </row>
    <row r="433" ht="12.75">
      <c r="J433" s="3"/>
    </row>
    <row r="434" ht="12.75">
      <c r="J434" s="3"/>
    </row>
    <row r="435" ht="12.75">
      <c r="J435" s="3"/>
    </row>
    <row r="436" ht="12.75">
      <c r="J436" s="3"/>
    </row>
    <row r="437" ht="12.75">
      <c r="J437" s="3"/>
    </row>
    <row r="438" ht="12.75">
      <c r="J438" s="3"/>
    </row>
    <row r="439" ht="12.75">
      <c r="J439" s="3"/>
    </row>
    <row r="440" ht="12.75">
      <c r="J440" s="3"/>
    </row>
    <row r="441" ht="12.75">
      <c r="J441" s="3"/>
    </row>
    <row r="442" ht="12.75">
      <c r="J442" s="3"/>
    </row>
    <row r="443" ht="12.75">
      <c r="J443" s="3"/>
    </row>
    <row r="444" ht="12.75">
      <c r="J444" s="3"/>
    </row>
    <row r="445" ht="12.75">
      <c r="J445" s="3"/>
    </row>
    <row r="446" ht="12.75">
      <c r="J446" s="3"/>
    </row>
    <row r="447" ht="12.75">
      <c r="J447" s="3"/>
    </row>
    <row r="448" ht="12.75">
      <c r="J448" s="3"/>
    </row>
    <row r="449" ht="12.75">
      <c r="J449" s="3"/>
    </row>
    <row r="450" ht="12.75">
      <c r="J450" s="3"/>
    </row>
    <row r="451" ht="12.75">
      <c r="J451" s="3"/>
    </row>
    <row r="452" ht="12.75">
      <c r="J452" s="3"/>
    </row>
    <row r="453" ht="12.75">
      <c r="J453" s="3"/>
    </row>
    <row r="454" ht="12.75">
      <c r="J454" s="3"/>
    </row>
    <row r="455" ht="12.75">
      <c r="J455" s="3"/>
    </row>
    <row r="456" ht="12.75">
      <c r="J456" s="3"/>
    </row>
    <row r="457" ht="12.75">
      <c r="J457" s="3"/>
    </row>
    <row r="458" ht="12.75">
      <c r="J458" s="3"/>
    </row>
    <row r="459" ht="12.75">
      <c r="J459" s="3"/>
    </row>
    <row r="460" ht="12.75">
      <c r="J460" s="3"/>
    </row>
    <row r="461" ht="12.75">
      <c r="J461" s="3"/>
    </row>
    <row r="462" ht="12.75">
      <c r="J462" s="3"/>
    </row>
    <row r="463" ht="12.75">
      <c r="J463" s="3"/>
    </row>
    <row r="464" ht="12.75">
      <c r="J464" s="3"/>
    </row>
    <row r="465" ht="12.75">
      <c r="J465" s="3"/>
    </row>
    <row r="466" ht="12.75">
      <c r="J466" s="3"/>
    </row>
    <row r="467" ht="12.75">
      <c r="J467" s="3"/>
    </row>
    <row r="468" ht="12.75">
      <c r="J468" s="3"/>
    </row>
    <row r="469" ht="12.75">
      <c r="J469" s="3"/>
    </row>
    <row r="470" ht="12.75">
      <c r="J470" s="3"/>
    </row>
    <row r="471" ht="12.75">
      <c r="J471" s="3"/>
    </row>
    <row r="472" ht="12.75">
      <c r="J472" s="3"/>
    </row>
    <row r="473" ht="12.75">
      <c r="J473" s="3"/>
    </row>
    <row r="474" ht="12.75">
      <c r="J474" s="3"/>
    </row>
    <row r="475" ht="12.75">
      <c r="J475" s="3"/>
    </row>
    <row r="476" ht="12.75">
      <c r="J476" s="3"/>
    </row>
    <row r="477" ht="12.75">
      <c r="J477" s="3"/>
    </row>
    <row r="478" ht="12.75">
      <c r="J478" s="3"/>
    </row>
    <row r="479" ht="12.75">
      <c r="J479" s="3"/>
    </row>
    <row r="480" ht="12.75">
      <c r="J480" s="3"/>
    </row>
    <row r="481" ht="12.75">
      <c r="J481" s="3"/>
    </row>
    <row r="482" ht="12.75">
      <c r="J482" s="3"/>
    </row>
    <row r="483" ht="12.75">
      <c r="J483" s="3"/>
    </row>
    <row r="484" ht="12.75">
      <c r="J484" s="3"/>
    </row>
    <row r="485" ht="12.75">
      <c r="J485" s="3"/>
    </row>
    <row r="486" ht="12.75">
      <c r="J486" s="3"/>
    </row>
    <row r="487" ht="12.75">
      <c r="J487" s="3"/>
    </row>
    <row r="488" ht="12.75">
      <c r="J488" s="3"/>
    </row>
    <row r="489" ht="12.75">
      <c r="J489" s="3"/>
    </row>
    <row r="490" ht="12.75">
      <c r="J490" s="3"/>
    </row>
    <row r="491" ht="12.75">
      <c r="J491" s="3"/>
    </row>
    <row r="492" ht="12.75">
      <c r="J492" s="3"/>
    </row>
    <row r="493" ht="12.75">
      <c r="J493" s="3"/>
    </row>
    <row r="494" ht="12.75">
      <c r="J494" s="3"/>
    </row>
    <row r="495" ht="12.75">
      <c r="J495" s="3"/>
    </row>
    <row r="496" ht="12.75">
      <c r="J496" s="3"/>
    </row>
    <row r="497" ht="12.75">
      <c r="J497" s="3"/>
    </row>
    <row r="498" ht="12.75">
      <c r="J498" s="3"/>
    </row>
    <row r="499" ht="12.75">
      <c r="J499" s="3"/>
    </row>
    <row r="500" ht="12.75">
      <c r="J500" s="3"/>
    </row>
    <row r="501" ht="12.75">
      <c r="J501" s="3"/>
    </row>
    <row r="502" ht="12.75">
      <c r="J502" s="3"/>
    </row>
    <row r="503" ht="12.75">
      <c r="J503" s="3"/>
    </row>
    <row r="504" ht="12.75">
      <c r="J504" s="3"/>
    </row>
    <row r="505" ht="12.75">
      <c r="J505" s="3"/>
    </row>
    <row r="506" ht="12.75">
      <c r="J506" s="3"/>
    </row>
    <row r="507" ht="12.75">
      <c r="J507" s="3"/>
    </row>
    <row r="508" ht="12.75">
      <c r="J508" s="3"/>
    </row>
    <row r="509" ht="12.75">
      <c r="J509" s="3"/>
    </row>
    <row r="510" ht="12.75">
      <c r="J510" s="3"/>
    </row>
    <row r="511" ht="12.75">
      <c r="J511" s="3"/>
    </row>
    <row r="512" ht="12.75">
      <c r="J512" s="3"/>
    </row>
    <row r="513" ht="12.75">
      <c r="J513" s="3"/>
    </row>
    <row r="514" ht="12.75">
      <c r="J514" s="3"/>
    </row>
    <row r="515" ht="12.75">
      <c r="J515" s="3"/>
    </row>
    <row r="516" ht="12.75">
      <c r="J516" s="3"/>
    </row>
    <row r="517" ht="12.75">
      <c r="J517" s="3"/>
    </row>
    <row r="518" ht="12.75">
      <c r="J518" s="3"/>
    </row>
    <row r="519" ht="12.75">
      <c r="J519" s="3"/>
    </row>
    <row r="520" ht="12.75">
      <c r="J520" s="3"/>
    </row>
    <row r="521" ht="12.75">
      <c r="J521" s="3"/>
    </row>
    <row r="522" ht="12.75">
      <c r="J522" s="3"/>
    </row>
    <row r="523" ht="12.75">
      <c r="J523" s="3"/>
    </row>
    <row r="524" ht="12.75">
      <c r="J524" s="3"/>
    </row>
    <row r="525" ht="12.75">
      <c r="J525" s="3"/>
    </row>
    <row r="526" ht="12.75">
      <c r="J526" s="3"/>
    </row>
    <row r="527" ht="12.75">
      <c r="J527" s="3"/>
    </row>
    <row r="528" ht="12.75">
      <c r="J528" s="3"/>
    </row>
    <row r="529" ht="12.75">
      <c r="J529" s="3"/>
    </row>
    <row r="530" ht="12.75">
      <c r="J530" s="3"/>
    </row>
    <row r="531" ht="12.75">
      <c r="J531" s="3"/>
    </row>
    <row r="532" ht="12.75">
      <c r="J532" s="3"/>
    </row>
    <row r="533" ht="12.75">
      <c r="J533" s="3"/>
    </row>
    <row r="534" ht="12.75">
      <c r="J534" s="3"/>
    </row>
    <row r="535" ht="12.75">
      <c r="J535" s="3"/>
    </row>
    <row r="536" ht="12.75">
      <c r="J536" s="3"/>
    </row>
    <row r="537" ht="12.75">
      <c r="J537" s="3"/>
    </row>
    <row r="538" ht="12.75">
      <c r="J538" s="3"/>
    </row>
    <row r="539" ht="12.75">
      <c r="J539" s="3"/>
    </row>
    <row r="540" ht="12.75">
      <c r="J540" s="3"/>
    </row>
    <row r="541" ht="12.75">
      <c r="J541" s="3"/>
    </row>
    <row r="542" ht="12.75">
      <c r="J542" s="3"/>
    </row>
    <row r="543" ht="12.75">
      <c r="J543" s="3"/>
    </row>
    <row r="544" ht="12.75">
      <c r="J544" s="3"/>
    </row>
    <row r="545" ht="12.75">
      <c r="J545" s="3"/>
    </row>
    <row r="546" ht="12.75">
      <c r="J546" s="3"/>
    </row>
    <row r="547" ht="12.75">
      <c r="J547" s="3"/>
    </row>
    <row r="548" ht="12.75">
      <c r="J548" s="3"/>
    </row>
    <row r="549" ht="12.75">
      <c r="J549" s="3"/>
    </row>
    <row r="550" ht="12.75">
      <c r="J550" s="3"/>
    </row>
    <row r="551" ht="12.75">
      <c r="J551" s="3"/>
    </row>
    <row r="552" ht="12.75">
      <c r="J552" s="3"/>
    </row>
    <row r="553" ht="12.75">
      <c r="J553" s="3"/>
    </row>
    <row r="554" ht="12.75">
      <c r="J554" s="3"/>
    </row>
    <row r="555" ht="12.75">
      <c r="J555" s="3"/>
    </row>
    <row r="556" ht="12.75">
      <c r="J556" s="3"/>
    </row>
    <row r="557" ht="12.75">
      <c r="J557" s="3"/>
    </row>
    <row r="558" ht="12.75">
      <c r="J558" s="3"/>
    </row>
    <row r="559" ht="12.75">
      <c r="J559" s="3"/>
    </row>
    <row r="560" ht="12.75">
      <c r="J560" s="3"/>
    </row>
    <row r="561" ht="12.75">
      <c r="J561" s="3"/>
    </row>
    <row r="562" ht="12.75">
      <c r="J562" s="3"/>
    </row>
    <row r="563" ht="12.75">
      <c r="J563" s="3"/>
    </row>
    <row r="564" ht="12.75">
      <c r="J564" s="3"/>
    </row>
    <row r="565" ht="12.75">
      <c r="J565" s="3"/>
    </row>
    <row r="566" ht="12.75">
      <c r="J566" s="3"/>
    </row>
    <row r="567" ht="12.75">
      <c r="J567" s="3"/>
    </row>
    <row r="568" ht="12.75">
      <c r="J568" s="3"/>
    </row>
    <row r="569" ht="12.75">
      <c r="J569" s="3"/>
    </row>
    <row r="570" ht="12.75">
      <c r="J570" s="3"/>
    </row>
    <row r="571" ht="12.75">
      <c r="J571" s="3"/>
    </row>
    <row r="572" ht="12.75">
      <c r="J572" s="3"/>
    </row>
    <row r="573" ht="12.75">
      <c r="J573" s="3"/>
    </row>
    <row r="574" ht="12.75">
      <c r="J574" s="3"/>
    </row>
    <row r="575" ht="12.75">
      <c r="J575" s="3"/>
    </row>
    <row r="576" ht="12.75">
      <c r="J576" s="3"/>
    </row>
    <row r="577" ht="12.75">
      <c r="J577" s="3"/>
    </row>
    <row r="578" ht="12.75">
      <c r="J578" s="3"/>
    </row>
    <row r="579" ht="12.75">
      <c r="J579" s="3"/>
    </row>
    <row r="580" ht="12.75">
      <c r="J580" s="3"/>
    </row>
    <row r="581" ht="12.75">
      <c r="J581" s="3"/>
    </row>
    <row r="582" ht="12.75">
      <c r="J582" s="3"/>
    </row>
    <row r="583" ht="12.75">
      <c r="J583" s="3"/>
    </row>
    <row r="584" ht="12.75">
      <c r="J584" s="3"/>
    </row>
    <row r="585" ht="12.75">
      <c r="J585" s="3"/>
    </row>
    <row r="586" ht="12.75">
      <c r="J586" s="3"/>
    </row>
    <row r="587" ht="12.75">
      <c r="J587" s="3"/>
    </row>
    <row r="588" ht="12.75">
      <c r="J588" s="3"/>
    </row>
    <row r="589" ht="12.75">
      <c r="J589" s="3"/>
    </row>
    <row r="590" ht="12.75">
      <c r="J590" s="3"/>
    </row>
    <row r="591" ht="12.75">
      <c r="J591" s="3"/>
    </row>
    <row r="592" ht="12.75">
      <c r="J592" s="3"/>
    </row>
    <row r="593" ht="12.75">
      <c r="J593" s="3"/>
    </row>
    <row r="594" ht="12.75">
      <c r="J594" s="3"/>
    </row>
    <row r="595" ht="12.75">
      <c r="J595" s="3"/>
    </row>
    <row r="596" ht="12.75">
      <c r="J596" s="3"/>
    </row>
    <row r="597" ht="12.75">
      <c r="J597" s="3"/>
    </row>
    <row r="598" ht="12.75">
      <c r="J598" s="3"/>
    </row>
    <row r="599" ht="12.75">
      <c r="J599" s="3"/>
    </row>
    <row r="600" ht="12.75">
      <c r="J600" s="3"/>
    </row>
    <row r="601" ht="12.75">
      <c r="J601" s="3"/>
    </row>
    <row r="602" ht="12.75">
      <c r="J602" s="3"/>
    </row>
    <row r="603" ht="12.75">
      <c r="J603" s="3"/>
    </row>
    <row r="604" ht="12.75">
      <c r="J604" s="3"/>
    </row>
    <row r="605" ht="12.75">
      <c r="J605" s="3"/>
    </row>
    <row r="606" ht="12.75">
      <c r="J606" s="3"/>
    </row>
    <row r="607" ht="12.75">
      <c r="J607" s="3"/>
    </row>
    <row r="608" ht="12.75">
      <c r="J608" s="3"/>
    </row>
    <row r="609" ht="12.75">
      <c r="J609" s="3"/>
    </row>
    <row r="610" ht="12.75">
      <c r="J610" s="3"/>
    </row>
    <row r="611" ht="12.75">
      <c r="J611" s="3"/>
    </row>
    <row r="612" ht="12.75">
      <c r="J612" s="3"/>
    </row>
    <row r="613" ht="12.75">
      <c r="J613" s="3"/>
    </row>
    <row r="614" ht="12.75">
      <c r="J614" s="3"/>
    </row>
    <row r="615" ht="12.75">
      <c r="J615" s="3"/>
    </row>
    <row r="616" ht="12.75">
      <c r="J616" s="3"/>
    </row>
    <row r="617" ht="12.75">
      <c r="J617" s="3"/>
    </row>
    <row r="618" ht="12.75">
      <c r="J618" s="3"/>
    </row>
    <row r="619" ht="12.75">
      <c r="J619" s="3"/>
    </row>
    <row r="620" ht="12.75">
      <c r="J620" s="3"/>
    </row>
    <row r="621" ht="12.75">
      <c r="J621" s="3"/>
    </row>
    <row r="622" ht="12.75">
      <c r="J622" s="3"/>
    </row>
    <row r="623" ht="12.75">
      <c r="J623" s="3"/>
    </row>
    <row r="624" ht="12.75">
      <c r="J624" s="3"/>
    </row>
    <row r="625" ht="12.75">
      <c r="J625" s="3"/>
    </row>
    <row r="626" ht="12.75">
      <c r="J626" s="3"/>
    </row>
    <row r="627" ht="12.75">
      <c r="J627" s="3"/>
    </row>
    <row r="628" ht="12.75">
      <c r="J628" s="3"/>
    </row>
    <row r="629" ht="12.75">
      <c r="J629" s="3"/>
    </row>
    <row r="630" ht="12.75">
      <c r="J630" s="3"/>
    </row>
    <row r="631" ht="12.75">
      <c r="J631" s="3"/>
    </row>
    <row r="632" ht="12.75">
      <c r="J632" s="3"/>
    </row>
    <row r="633" ht="12.75">
      <c r="J633" s="3"/>
    </row>
    <row r="634" ht="12.75">
      <c r="J634" s="3"/>
    </row>
    <row r="635" ht="12.75">
      <c r="J635" s="3"/>
    </row>
    <row r="636" ht="12.75">
      <c r="J636" s="3"/>
    </row>
    <row r="637" ht="12.75">
      <c r="J637" s="3"/>
    </row>
    <row r="638" ht="12.75">
      <c r="J638" s="3"/>
    </row>
    <row r="639" ht="12.75">
      <c r="J639" s="3"/>
    </row>
    <row r="640" ht="12.75">
      <c r="J640" s="3"/>
    </row>
    <row r="641" ht="12.75">
      <c r="J641" s="3"/>
    </row>
    <row r="642" ht="12.75">
      <c r="J642" s="3"/>
    </row>
    <row r="643" ht="12.75">
      <c r="J643" s="3"/>
    </row>
    <row r="644" ht="12.75">
      <c r="J644" s="3"/>
    </row>
    <row r="645" ht="12.75">
      <c r="J645" s="3"/>
    </row>
    <row r="646" ht="12.75">
      <c r="J646" s="3"/>
    </row>
    <row r="647" ht="12.75">
      <c r="J647" s="3"/>
    </row>
    <row r="648" ht="12.75">
      <c r="J648" s="3"/>
    </row>
    <row r="649" ht="12.75">
      <c r="J649" s="3"/>
    </row>
    <row r="650" ht="12.75">
      <c r="J650" s="3"/>
    </row>
    <row r="651" ht="12.75">
      <c r="J651" s="3"/>
    </row>
    <row r="652" ht="12.75">
      <c r="J652" s="3"/>
    </row>
    <row r="653" ht="12.75">
      <c r="J653" s="3"/>
    </row>
    <row r="654" ht="12.75">
      <c r="J654" s="3"/>
    </row>
    <row r="655" ht="12.75">
      <c r="J655" s="3"/>
    </row>
    <row r="656" ht="12.75">
      <c r="J656" s="3"/>
    </row>
    <row r="657" ht="12.75">
      <c r="J657" s="3"/>
    </row>
    <row r="658" ht="12.75">
      <c r="J658" s="3"/>
    </row>
    <row r="659" ht="12.75">
      <c r="J659" s="3"/>
    </row>
    <row r="660" ht="12.75">
      <c r="J660" s="3"/>
    </row>
    <row r="661" ht="12.75">
      <c r="J661" s="3"/>
    </row>
    <row r="662" ht="12.75">
      <c r="J662" s="3"/>
    </row>
    <row r="663" ht="12.75">
      <c r="J663" s="3"/>
    </row>
    <row r="664" ht="12.75">
      <c r="J664" s="3"/>
    </row>
    <row r="665" ht="12.75">
      <c r="J665" s="3"/>
    </row>
    <row r="666" ht="12.75">
      <c r="J666" s="3"/>
    </row>
    <row r="667" ht="12.75">
      <c r="J667" s="3"/>
    </row>
    <row r="668" ht="12.75">
      <c r="J668" s="3"/>
    </row>
    <row r="669" ht="12.75">
      <c r="J669" s="3"/>
    </row>
    <row r="670" ht="12.75">
      <c r="J670" s="3"/>
    </row>
    <row r="671" ht="12.75">
      <c r="J671" s="3"/>
    </row>
    <row r="672" ht="12.75">
      <c r="J672" s="3"/>
    </row>
    <row r="673" ht="12.75">
      <c r="J673" s="3"/>
    </row>
    <row r="674" ht="12.75">
      <c r="J674" s="3"/>
    </row>
    <row r="675" ht="12.75">
      <c r="J675" s="3"/>
    </row>
    <row r="676" ht="12.75">
      <c r="J676" s="3"/>
    </row>
    <row r="677" ht="12.75">
      <c r="J677" s="3"/>
    </row>
    <row r="678" ht="12.75">
      <c r="J678" s="3"/>
    </row>
    <row r="679" ht="12.75">
      <c r="J679" s="3"/>
    </row>
    <row r="680" ht="12.75">
      <c r="J680" s="3"/>
    </row>
    <row r="681" ht="12.75">
      <c r="J681" s="3"/>
    </row>
    <row r="682" ht="12.75">
      <c r="J682" s="3"/>
    </row>
    <row r="683" ht="12.75">
      <c r="J683" s="3"/>
    </row>
    <row r="684" ht="12.75">
      <c r="J684" s="3"/>
    </row>
    <row r="685" ht="12.75">
      <c r="J685" s="3"/>
    </row>
    <row r="686" ht="12.75">
      <c r="J686" s="3"/>
    </row>
    <row r="687" ht="12.75">
      <c r="J687" s="3"/>
    </row>
    <row r="688" ht="12.75">
      <c r="J688" s="3"/>
    </row>
    <row r="689" ht="12.75">
      <c r="J689" s="3"/>
    </row>
    <row r="690" ht="12.75">
      <c r="J690" s="3"/>
    </row>
    <row r="691" ht="12.75">
      <c r="J691" s="3"/>
    </row>
    <row r="692" ht="12.75">
      <c r="J692" s="3"/>
    </row>
    <row r="693" ht="12.75">
      <c r="J693" s="3"/>
    </row>
    <row r="694" ht="12.75">
      <c r="J694" s="3"/>
    </row>
    <row r="695" ht="12.75">
      <c r="J695" s="3"/>
    </row>
    <row r="696" ht="12.75">
      <c r="J696" s="3"/>
    </row>
    <row r="697" ht="12.75">
      <c r="J697" s="3"/>
    </row>
    <row r="698" ht="12.75">
      <c r="J698" s="3"/>
    </row>
    <row r="699" ht="12.75">
      <c r="J699" s="3"/>
    </row>
    <row r="700" ht="12.75">
      <c r="J700" s="3"/>
    </row>
  </sheetData>
  <sheetProtection/>
  <printOptions/>
  <pageMargins left="0.75" right="0.75" top="1" bottom="1" header="0.5" footer="0.5"/>
  <pageSetup horizontalDpi="600" verticalDpi="600" orientation="portrait" scale="80" r:id="rId1"/>
  <headerFooter alignWithMargins="0">
    <oddHeader>&amp;RExhibit No. _____ (WGJ-2)</oddHeader>
    <oddFooter>&amp;R&amp;"Arial,Regular"&amp;12&amp;P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A5" sqref="A5"/>
    </sheetView>
  </sheetViews>
  <sheetFormatPr defaultColWidth="11.375" defaultRowHeight="12.75"/>
  <cols>
    <col min="1" max="1" width="46.25390625" style="0" customWidth="1"/>
    <col min="2" max="2" width="2.00390625" style="0" hidden="1" customWidth="1"/>
    <col min="3" max="15" width="13.75390625" style="0" customWidth="1"/>
  </cols>
  <sheetData>
    <row r="1" ht="18">
      <c r="A1" s="91" t="s">
        <v>36</v>
      </c>
    </row>
    <row r="2" ht="18">
      <c r="A2" s="91" t="s">
        <v>129</v>
      </c>
    </row>
    <row r="3" spans="1:9" ht="18">
      <c r="A3" s="91" t="s">
        <v>257</v>
      </c>
      <c r="I3" s="14"/>
    </row>
    <row r="4" spans="2:9" ht="12.75">
      <c r="B4" s="57"/>
      <c r="I4" s="14"/>
    </row>
    <row r="6" spans="3:15" ht="12.75">
      <c r="C6" s="39"/>
      <c r="D6" s="39">
        <v>744</v>
      </c>
      <c r="E6" s="39">
        <v>672</v>
      </c>
      <c r="F6" s="39">
        <v>743</v>
      </c>
      <c r="G6" s="39">
        <v>720</v>
      </c>
      <c r="H6" s="39">
        <v>744</v>
      </c>
      <c r="I6" s="39">
        <v>720</v>
      </c>
      <c r="J6" s="39">
        <v>744</v>
      </c>
      <c r="K6" s="39">
        <v>744</v>
      </c>
      <c r="L6" s="39">
        <v>720</v>
      </c>
      <c r="M6" s="39">
        <v>744</v>
      </c>
      <c r="N6" s="39">
        <v>721</v>
      </c>
      <c r="O6" s="39">
        <v>744</v>
      </c>
    </row>
    <row r="7" spans="3:15" ht="12.75">
      <c r="C7" s="24" t="s">
        <v>37</v>
      </c>
      <c r="D7" s="25">
        <v>39082</v>
      </c>
      <c r="E7" s="25">
        <v>39113</v>
      </c>
      <c r="F7" s="25">
        <v>39141</v>
      </c>
      <c r="G7" s="25">
        <v>39172</v>
      </c>
      <c r="H7" s="25">
        <v>39202</v>
      </c>
      <c r="I7" s="25">
        <v>39233</v>
      </c>
      <c r="J7" s="25">
        <v>39263</v>
      </c>
      <c r="K7" s="25">
        <v>39294</v>
      </c>
      <c r="L7" s="25">
        <v>39325</v>
      </c>
      <c r="M7" s="25">
        <v>39355</v>
      </c>
      <c r="N7" s="25">
        <v>39386</v>
      </c>
      <c r="O7" s="25">
        <v>39416</v>
      </c>
    </row>
    <row r="8" ht="12.75">
      <c r="C8" s="53"/>
    </row>
    <row r="9" spans="1:16" ht="12.75">
      <c r="A9" t="s">
        <v>117</v>
      </c>
      <c r="B9" s="5" t="s">
        <v>60</v>
      </c>
      <c r="C9" s="40">
        <f>SUM(D9:O9)</f>
        <v>-35746285.5308342</v>
      </c>
      <c r="D9" s="27">
        <f>Aurora!B40*1000</f>
        <v>-1683760.221862793</v>
      </c>
      <c r="E9" s="27">
        <f>Aurora!C40*1000</f>
        <v>-2443917.8764152527</v>
      </c>
      <c r="F9" s="27">
        <f>Aurora!D40*1000</f>
        <v>-2276567.6919555664</v>
      </c>
      <c r="G9" s="27">
        <f>Aurora!E40*1000</f>
        <v>-2938335.60546875</v>
      </c>
      <c r="H9" s="27">
        <f>Aurora!F40*1000</f>
        <v>-3638140.7666015625</v>
      </c>
      <c r="I9" s="27">
        <f>Aurora!G40*1000</f>
        <v>-3864578.5205078125</v>
      </c>
      <c r="J9" s="27">
        <f>Aurora!H40*1000</f>
        <v>-5564758.474121094</v>
      </c>
      <c r="K9" s="27">
        <f>Aurora!I40*1000</f>
        <v>-2967236.2255859375</v>
      </c>
      <c r="L9" s="27">
        <f>Aurora!J40*1000</f>
        <v>-2891893.2788085938</v>
      </c>
      <c r="M9" s="27">
        <f>Aurora!K40*1000</f>
        <v>-1123120.5096435547</v>
      </c>
      <c r="N9" s="27">
        <f>Aurora!L40*1000</f>
        <v>-1953493.197631836</v>
      </c>
      <c r="O9" s="27">
        <f>Aurora!M40*1000</f>
        <v>-4400483.162231445</v>
      </c>
      <c r="P9" s="27"/>
    </row>
    <row r="10" spans="1:15" ht="12.75">
      <c r="A10" t="s">
        <v>118</v>
      </c>
      <c r="C10" s="28">
        <f>SUM(D10:O10)</f>
        <v>-854873.3799725341</v>
      </c>
      <c r="D10" s="3">
        <f>Aurora!B36*1000</f>
        <v>-29471.427705078124</v>
      </c>
      <c r="E10" s="3">
        <f>Aurora!C36*1000</f>
        <v>-44648.862501831056</v>
      </c>
      <c r="F10" s="3">
        <f>Aurora!D36*1000</f>
        <v>-46095.51319335937</v>
      </c>
      <c r="G10" s="3">
        <f>Aurora!E36*1000</f>
        <v>-78996.9728515625</v>
      </c>
      <c r="H10" s="3">
        <f>Aurora!F36*1000</f>
        <v>-139570.855</v>
      </c>
      <c r="I10" s="3">
        <f>Aurora!G36*1000</f>
        <v>-151160.4259375</v>
      </c>
      <c r="J10" s="3">
        <f>Aurora!H36*1000</f>
        <v>-115288.98023437499</v>
      </c>
      <c r="K10" s="3">
        <f>Aurora!I36*1000</f>
        <v>-58213.98357421875</v>
      </c>
      <c r="L10" s="3">
        <f>Aurora!J36*1000</f>
        <v>-59568.1744140625</v>
      </c>
      <c r="M10" s="3">
        <f>Aurora!K36*1000</f>
        <v>-23727.581435546876</v>
      </c>
      <c r="N10" s="3">
        <f>Aurora!L36*1000</f>
        <v>-37615.693964843755</v>
      </c>
      <c r="O10" s="3">
        <f>Aurora!M36*1000</f>
        <v>-70514.90916015625</v>
      </c>
    </row>
    <row r="11" spans="1:15" ht="12.75" hidden="1">
      <c r="A11" t="s">
        <v>61</v>
      </c>
      <c r="C11" s="30">
        <f>C9/C10</f>
        <v>41.814713580135894</v>
      </c>
      <c r="D11" s="31">
        <f>D9/D10</f>
        <v>57.13195297873777</v>
      </c>
      <c r="E11" s="31">
        <f aca="true" t="shared" si="0" ref="E11:O11">E9/E10</f>
        <v>54.73639728929326</v>
      </c>
      <c r="F11" s="31">
        <f t="shared" si="0"/>
        <v>49.38805393934814</v>
      </c>
      <c r="G11" s="31">
        <f t="shared" si="0"/>
        <v>37.19554685962415</v>
      </c>
      <c r="H11" s="31">
        <f t="shared" si="0"/>
        <v>26.06662233746123</v>
      </c>
      <c r="I11" s="31">
        <f t="shared" si="0"/>
        <v>25.56607324000061</v>
      </c>
      <c r="J11" s="31">
        <f t="shared" si="0"/>
        <v>48.26791305472823</v>
      </c>
      <c r="K11" s="31">
        <f t="shared" si="0"/>
        <v>50.97119357590293</v>
      </c>
      <c r="L11" s="31">
        <f t="shared" si="0"/>
        <v>48.547623076491206</v>
      </c>
      <c r="M11" s="31">
        <f t="shared" si="0"/>
        <v>47.33396501849026</v>
      </c>
      <c r="N11" s="31">
        <f t="shared" si="0"/>
        <v>51.932929895101836</v>
      </c>
      <c r="O11" s="31">
        <f t="shared" si="0"/>
        <v>62.40500363174111</v>
      </c>
    </row>
    <row r="12" spans="1:15" ht="12.75">
      <c r="A12" t="s">
        <v>116</v>
      </c>
      <c r="C12" s="54">
        <f>C9/C10</f>
        <v>41.814713580135894</v>
      </c>
      <c r="D12" s="52">
        <f>D9/D10</f>
        <v>57.13195297873777</v>
      </c>
      <c r="E12" s="52">
        <f aca="true" t="shared" si="1" ref="E12:O12">E9/E10</f>
        <v>54.73639728929326</v>
      </c>
      <c r="F12" s="52">
        <f t="shared" si="1"/>
        <v>49.38805393934814</v>
      </c>
      <c r="G12" s="52">
        <f t="shared" si="1"/>
        <v>37.19554685962415</v>
      </c>
      <c r="H12" s="52">
        <f t="shared" si="1"/>
        <v>26.06662233746123</v>
      </c>
      <c r="I12" s="52">
        <f t="shared" si="1"/>
        <v>25.56607324000061</v>
      </c>
      <c r="J12" s="52">
        <f t="shared" si="1"/>
        <v>48.26791305472823</v>
      </c>
      <c r="K12" s="52">
        <f t="shared" si="1"/>
        <v>50.97119357590293</v>
      </c>
      <c r="L12" s="52">
        <f t="shared" si="1"/>
        <v>48.547623076491206</v>
      </c>
      <c r="M12" s="52">
        <f t="shared" si="1"/>
        <v>47.33396501849026</v>
      </c>
      <c r="N12" s="52">
        <f t="shared" si="1"/>
        <v>51.932929895101836</v>
      </c>
      <c r="O12" s="52">
        <f t="shared" si="1"/>
        <v>62.40500363174111</v>
      </c>
    </row>
    <row r="13" spans="1:15" ht="12.75">
      <c r="A13" t="s">
        <v>119</v>
      </c>
      <c r="B13" s="5" t="s">
        <v>60</v>
      </c>
      <c r="C13" s="40">
        <f>SUM(D13:O13)</f>
        <v>39617313.18670273</v>
      </c>
      <c r="D13" s="27">
        <f>Aurora!B39*1000</f>
        <v>5278784.849243164</v>
      </c>
      <c r="E13" s="27">
        <f>Aurora!C39*1000</f>
        <v>3430992.7084350586</v>
      </c>
      <c r="F13" s="27">
        <f>Aurora!D39*1000</f>
        <v>4978555.943603516</v>
      </c>
      <c r="G13" s="27">
        <f>Aurora!E39*1000</f>
        <v>2307005.918636322</v>
      </c>
      <c r="H13" s="27">
        <f>Aurora!F39*1000</f>
        <v>1262800.6756591797</v>
      </c>
      <c r="I13" s="27">
        <f>Aurora!G39*1000</f>
        <v>1320323.8671875</v>
      </c>
      <c r="J13" s="27">
        <f>Aurora!H39*1000</f>
        <v>2057682.8387451174</v>
      </c>
      <c r="K13" s="27">
        <f>Aurora!I39*1000</f>
        <v>4104876.030273437</v>
      </c>
      <c r="L13" s="27">
        <f>Aurora!J39*1000</f>
        <v>2809379.2041015625</v>
      </c>
      <c r="M13" s="27">
        <f>Aurora!K39*1000</f>
        <v>5137228.96484375</v>
      </c>
      <c r="N13" s="27">
        <f>Aurora!L39*1000</f>
        <v>4563357.316894531</v>
      </c>
      <c r="O13" s="27">
        <f>Aurora!M39*1000</f>
        <v>2366324.86907959</v>
      </c>
    </row>
    <row r="14" spans="1:15" s="3" customFormat="1" ht="12.75">
      <c r="A14" s="3" t="s">
        <v>123</v>
      </c>
      <c r="C14" s="29">
        <f>SUM(D14:O14)</f>
        <v>729088.8521740724</v>
      </c>
      <c r="D14" s="3">
        <f>Aurora!B35*1000</f>
        <v>95119.16205078125</v>
      </c>
      <c r="E14" s="3">
        <f>Aurora!C35*1000</f>
        <v>59534.90155761718</v>
      </c>
      <c r="F14" s="3">
        <f>Aurora!D35*1000</f>
        <v>94896.586640625</v>
      </c>
      <c r="G14" s="3">
        <f>Aurora!E35*1000</f>
        <v>51244.07115356445</v>
      </c>
      <c r="H14" s="3">
        <f>Aurora!F35*1000</f>
        <v>31379.128515625</v>
      </c>
      <c r="I14" s="3">
        <f>Aurora!G35*1000</f>
        <v>32711.06179687501</v>
      </c>
      <c r="J14" s="3">
        <f>Aurora!H35*1000</f>
        <v>38721.783125</v>
      </c>
      <c r="K14" s="3">
        <f>Aurora!I35*1000</f>
        <v>65249.16144531251</v>
      </c>
      <c r="L14" s="3">
        <f>Aurora!J35*1000</f>
        <v>45785.03568359375</v>
      </c>
      <c r="M14" s="3">
        <f>Aurora!K35*1000</f>
        <v>99359.18242187501</v>
      </c>
      <c r="N14" s="3">
        <f>Aurora!L35*1000</f>
        <v>76514.492265625</v>
      </c>
      <c r="O14" s="3">
        <f>Aurora!M35*1000</f>
        <v>38574.28551757813</v>
      </c>
    </row>
    <row r="15" spans="1:15" ht="12.75" hidden="1">
      <c r="A15" s="3" t="s">
        <v>62</v>
      </c>
      <c r="C15" s="30">
        <f>C13/C14</f>
        <v>54.338114028993495</v>
      </c>
      <c r="D15" s="31">
        <f>D13/D14</f>
        <v>55.49654491725842</v>
      </c>
      <c r="E15" s="31">
        <f aca="true" t="shared" si="2" ref="E15:O15">E13/E14</f>
        <v>57.62993838353095</v>
      </c>
      <c r="F15" s="31">
        <f t="shared" si="2"/>
        <v>52.46296120699675</v>
      </c>
      <c r="G15" s="31">
        <f t="shared" si="2"/>
        <v>45.019957757119975</v>
      </c>
      <c r="H15" s="31">
        <f t="shared" si="2"/>
        <v>40.24333164735208</v>
      </c>
      <c r="I15" s="31">
        <f t="shared" si="2"/>
        <v>40.36322255102201</v>
      </c>
      <c r="J15" s="31">
        <f t="shared" si="2"/>
        <v>53.14018809781032</v>
      </c>
      <c r="K15" s="31">
        <f t="shared" si="2"/>
        <v>62.91078596793723</v>
      </c>
      <c r="L15" s="31">
        <f t="shared" si="2"/>
        <v>61.36020562518101</v>
      </c>
      <c r="M15" s="31">
        <f t="shared" si="2"/>
        <v>51.70361550512047</v>
      </c>
      <c r="N15" s="31">
        <f t="shared" si="2"/>
        <v>59.640431266962366</v>
      </c>
      <c r="O15" s="31">
        <f t="shared" si="2"/>
        <v>61.34461953938891</v>
      </c>
    </row>
    <row r="16" spans="1:15" ht="12.75">
      <c r="A16" s="3" t="s">
        <v>121</v>
      </c>
      <c r="C16" s="54">
        <f>C13/C14</f>
        <v>54.338114028993495</v>
      </c>
      <c r="D16" s="52">
        <f>D13/D14</f>
        <v>55.49654491725842</v>
      </c>
      <c r="E16" s="52">
        <f aca="true" t="shared" si="3" ref="E16:O16">E13/E14</f>
        <v>57.62993838353095</v>
      </c>
      <c r="F16" s="52">
        <f t="shared" si="3"/>
        <v>52.46296120699675</v>
      </c>
      <c r="G16" s="52">
        <f t="shared" si="3"/>
        <v>45.019957757119975</v>
      </c>
      <c r="H16" s="52">
        <f t="shared" si="3"/>
        <v>40.24333164735208</v>
      </c>
      <c r="I16" s="52"/>
      <c r="J16" s="52">
        <f t="shared" si="3"/>
        <v>53.14018809781032</v>
      </c>
      <c r="K16" s="52">
        <f t="shared" si="3"/>
        <v>62.91078596793723</v>
      </c>
      <c r="L16" s="52">
        <f t="shared" si="3"/>
        <v>61.36020562518101</v>
      </c>
      <c r="M16" s="52">
        <f t="shared" si="3"/>
        <v>51.70361550512047</v>
      </c>
      <c r="N16" s="52">
        <f t="shared" si="3"/>
        <v>59.640431266962366</v>
      </c>
      <c r="O16" s="52">
        <f t="shared" si="3"/>
        <v>61.34461953938891</v>
      </c>
    </row>
    <row r="17" spans="1:15" ht="12.75">
      <c r="A17" t="s">
        <v>120</v>
      </c>
      <c r="C17" s="29">
        <f>C14+C10</f>
        <v>-125784.52779846173</v>
      </c>
      <c r="D17" s="19">
        <f>D14+D10</f>
        <v>65647.73434570312</v>
      </c>
      <c r="E17" s="19">
        <f>E14+E10</f>
        <v>14886.039055786125</v>
      </c>
      <c r="F17" s="19">
        <f aca="true" t="shared" si="4" ref="F17:O17">F14+F10</f>
        <v>48801.073447265626</v>
      </c>
      <c r="G17" s="19">
        <f t="shared" si="4"/>
        <v>-27752.90169799805</v>
      </c>
      <c r="H17" s="19">
        <f t="shared" si="4"/>
        <v>-108191.72648437502</v>
      </c>
      <c r="I17" s="19">
        <f t="shared" si="4"/>
        <v>-118449.364140625</v>
      </c>
      <c r="J17" s="19">
        <f t="shared" si="4"/>
        <v>-76567.19710937499</v>
      </c>
      <c r="K17" s="19">
        <f t="shared" si="4"/>
        <v>7035.177871093758</v>
      </c>
      <c r="L17" s="19">
        <f t="shared" si="4"/>
        <v>-13783.138730468752</v>
      </c>
      <c r="M17" s="19">
        <f t="shared" si="4"/>
        <v>75631.60098632814</v>
      </c>
      <c r="N17" s="19">
        <f t="shared" si="4"/>
        <v>38898.79830078124</v>
      </c>
      <c r="O17" s="19">
        <f t="shared" si="4"/>
        <v>-31940.623642578124</v>
      </c>
    </row>
    <row r="18" spans="1:15" ht="12.75">
      <c r="A18" t="s">
        <v>122</v>
      </c>
      <c r="C18" s="121">
        <f>C17/8760</f>
        <v>-14.358964360554992</v>
      </c>
      <c r="D18" s="3">
        <f>D17/D6</f>
        <v>88.23620207755796</v>
      </c>
      <c r="E18" s="3">
        <f aca="true" t="shared" si="5" ref="E18:O18">E17/E6</f>
        <v>22.151843833015068</v>
      </c>
      <c r="F18" s="3">
        <f t="shared" si="5"/>
        <v>65.68112173252439</v>
      </c>
      <c r="G18" s="3">
        <f t="shared" si="5"/>
        <v>-38.54569680277507</v>
      </c>
      <c r="H18" s="3">
        <f t="shared" si="5"/>
        <v>-145.41898721018148</v>
      </c>
      <c r="I18" s="3">
        <f t="shared" si="5"/>
        <v>-164.51300575086805</v>
      </c>
      <c r="J18" s="3">
        <f t="shared" si="5"/>
        <v>-102.91289934055779</v>
      </c>
      <c r="K18" s="3">
        <f t="shared" si="5"/>
        <v>9.455884235341072</v>
      </c>
      <c r="L18" s="3">
        <f t="shared" si="5"/>
        <v>-19.143248236762155</v>
      </c>
      <c r="M18" s="3">
        <f t="shared" si="5"/>
        <v>101.65537766979588</v>
      </c>
      <c r="N18" s="3">
        <f t="shared" si="5"/>
        <v>53.951176561416425</v>
      </c>
      <c r="O18" s="3">
        <f t="shared" si="5"/>
        <v>-42.93094575615339</v>
      </c>
    </row>
    <row r="19" spans="1:15" ht="12.75">
      <c r="A19" t="s">
        <v>124</v>
      </c>
      <c r="C19" s="82">
        <f>(-C9+C13)/(-C10+C14)</f>
        <v>47.579163939662365</v>
      </c>
      <c r="D19" s="31">
        <f>(-D9+D13)/(-D10+D14)</f>
        <v>55.88339444214338</v>
      </c>
      <c r="E19" s="31">
        <f>(-E9+E13)/(-E10+E14)</f>
        <v>56.38988606226621</v>
      </c>
      <c r="F19" s="31">
        <f aca="true" t="shared" si="6" ref="F19:O19">(-F9+F13)/(-F10+F14)</f>
        <v>51.45766070653504</v>
      </c>
      <c r="G19" s="31">
        <f t="shared" si="6"/>
        <v>40.27410532657116</v>
      </c>
      <c r="H19" s="31">
        <f t="shared" si="6"/>
        <v>28.668861742316523</v>
      </c>
      <c r="I19" s="31">
        <f t="shared" si="6"/>
        <v>28.19851218686794</v>
      </c>
      <c r="J19" s="31">
        <f t="shared" si="6"/>
        <v>49.492913005565036</v>
      </c>
      <c r="K19" s="31">
        <f t="shared" si="6"/>
        <v>57.28116074429015</v>
      </c>
      <c r="L19" s="31">
        <f t="shared" si="6"/>
        <v>54.11579274732503</v>
      </c>
      <c r="M19" s="31">
        <f t="shared" si="6"/>
        <v>50.86127279890963</v>
      </c>
      <c r="N19" s="31">
        <f t="shared" si="6"/>
        <v>57.100147907991385</v>
      </c>
      <c r="O19" s="31">
        <f t="shared" si="6"/>
        <v>62.0300484507305</v>
      </c>
    </row>
    <row r="20" spans="3:15" ht="12.75">
      <c r="C20" s="30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17" s="3" customFormat="1" ht="12.75">
      <c r="A21" s="3" t="s">
        <v>38</v>
      </c>
      <c r="C21" s="29">
        <f>SUM(D21:O21)</f>
        <v>1638873.4567578128</v>
      </c>
      <c r="D21" s="3">
        <f>Aurora!B6*1000</f>
        <v>147709.294765625</v>
      </c>
      <c r="E21" s="3">
        <f>Aurora!C6*1000</f>
        <v>135220.375</v>
      </c>
      <c r="F21" s="3">
        <f>Aurora!D6*1000</f>
        <v>146706.27164062497</v>
      </c>
      <c r="G21" s="3">
        <f>Aurora!E6*1000</f>
        <v>129397.30843750002</v>
      </c>
      <c r="H21" s="3">
        <f>Aurora!F6*1000</f>
        <v>104699.807578125</v>
      </c>
      <c r="I21" s="3">
        <f>Aurora!G6*1000</f>
        <v>97872.5421484375</v>
      </c>
      <c r="J21" s="3">
        <f>Aurora!H6*1000</f>
        <v>142085.9725</v>
      </c>
      <c r="K21" s="3">
        <f>Aurora!I6*1000</f>
        <v>149630.775</v>
      </c>
      <c r="L21" s="3">
        <f>Aurora!J6*1000</f>
        <v>144878.918125</v>
      </c>
      <c r="M21" s="3">
        <f>Aurora!K6*1000</f>
        <v>148495.640625</v>
      </c>
      <c r="N21" s="3">
        <f>Aurora!L6*1000</f>
        <v>144878.96875</v>
      </c>
      <c r="O21" s="3">
        <f>Aurora!M6*1000</f>
        <v>147297.5821875</v>
      </c>
      <c r="P21" s="3">
        <f>C21/8760</f>
        <v>187.08601104541242</v>
      </c>
      <c r="Q21" s="120">
        <f>P21/230</f>
        <v>0.8134174393278801</v>
      </c>
    </row>
    <row r="22" spans="1:15" ht="12.75">
      <c r="A22" s="3" t="s">
        <v>112</v>
      </c>
      <c r="C22" s="76">
        <f>C23/C21</f>
        <v>12.74331657071609</v>
      </c>
      <c r="D22" s="79">
        <f>D23/D21</f>
        <v>12.658120218262457</v>
      </c>
      <c r="E22" s="79">
        <f aca="true" t="shared" si="7" ref="E22:O22">E23/E21</f>
        <v>12.638473499105164</v>
      </c>
      <c r="F22" s="79">
        <f t="shared" si="7"/>
        <v>12.66983691526178</v>
      </c>
      <c r="G22" s="79">
        <f t="shared" si="7"/>
        <v>12.821851248728638</v>
      </c>
      <c r="H22" s="79">
        <f t="shared" si="7"/>
        <v>13.228748150570974</v>
      </c>
      <c r="I22" s="79">
        <f t="shared" si="7"/>
        <v>13.27003194516484</v>
      </c>
      <c r="J22" s="79">
        <f t="shared" si="7"/>
        <v>12.718047672686337</v>
      </c>
      <c r="K22" s="79">
        <f t="shared" si="7"/>
        <v>12.639267163218618</v>
      </c>
      <c r="L22" s="79">
        <f t="shared" si="7"/>
        <v>12.638474480750023</v>
      </c>
      <c r="M22" s="79">
        <f t="shared" si="7"/>
        <v>12.650989708399479</v>
      </c>
      <c r="N22" s="79">
        <f t="shared" si="7"/>
        <v>12.638473948729187</v>
      </c>
      <c r="O22" s="79">
        <f t="shared" si="7"/>
        <v>12.663558185979793</v>
      </c>
    </row>
    <row r="23" spans="1:15" ht="12.75">
      <c r="A23" t="s">
        <v>39</v>
      </c>
      <c r="C23" s="32">
        <f>SUM(D23:O23)</f>
        <v>20884683.278808594</v>
      </c>
      <c r="D23" s="33">
        <f>Aurora!B26*1000</f>
        <v>1869722.0104980469</v>
      </c>
      <c r="E23" s="33">
        <f>Aurora!C26*1000</f>
        <v>1708979.1259765625</v>
      </c>
      <c r="F23" s="33">
        <f>Aurora!D26*1000</f>
        <v>1858744.5361328125</v>
      </c>
      <c r="G23" s="33">
        <f>Aurora!E26*1000</f>
        <v>1659113.0407714844</v>
      </c>
      <c r="H23" s="33">
        <f>Aurora!F26*1000</f>
        <v>1385047.3858642578</v>
      </c>
      <c r="I23" s="33">
        <f>Aurora!G26*1000</f>
        <v>1298771.7608642578</v>
      </c>
      <c r="J23" s="33">
        <f>Aurora!H26*1000</f>
        <v>1807056.171875</v>
      </c>
      <c r="K23" s="33">
        <f>Aurora!I26*1000</f>
        <v>1891223.3410644531</v>
      </c>
      <c r="L23" s="33">
        <f>Aurora!J26*1000</f>
        <v>1831048.5095214844</v>
      </c>
      <c r="M23" s="33">
        <f>Aurora!K26*1000</f>
        <v>1878616.8212890625</v>
      </c>
      <c r="N23" s="33">
        <f>Aurora!L26*1000</f>
        <v>1831049.072265625</v>
      </c>
      <c r="O23" s="33">
        <f>Aurora!M26*1000</f>
        <v>1865311.5026855469</v>
      </c>
    </row>
    <row r="24" ht="12.75">
      <c r="C24" s="30"/>
    </row>
    <row r="25" spans="1:16" s="3" customFormat="1" ht="12.75">
      <c r="A25" s="3" t="s">
        <v>40</v>
      </c>
      <c r="C25" s="29">
        <f>SUM(D25:O25)</f>
        <v>294039.0179296875</v>
      </c>
      <c r="D25" s="3">
        <f>Aurora!B8*1000</f>
        <v>34110.0394921875</v>
      </c>
      <c r="E25" s="3">
        <f>Aurora!C8*1000</f>
        <v>31084.97265625</v>
      </c>
      <c r="F25" s="3">
        <f>Aurora!D8*1000</f>
        <v>33903.846328125</v>
      </c>
      <c r="G25" s="3">
        <f>Aurora!E8*1000</f>
        <v>0</v>
      </c>
      <c r="H25" s="3">
        <f>Aurora!F8*1000</f>
        <v>0</v>
      </c>
      <c r="I25" s="3">
        <f>Aurora!G8*1000</f>
        <v>0</v>
      </c>
      <c r="J25" s="3">
        <f>Aurora!H8*1000</f>
        <v>27787.0394140625</v>
      </c>
      <c r="K25" s="3">
        <f>Aurora!I8*1000</f>
        <v>33884.91046875001</v>
      </c>
      <c r="L25" s="3">
        <f>Aurora!J8*1000</f>
        <v>32009.386601562495</v>
      </c>
      <c r="M25" s="3">
        <f>Aurora!K8*1000</f>
        <v>33903.41015625</v>
      </c>
      <c r="N25" s="3">
        <f>Aurora!L8*1000</f>
        <v>33032.55859375</v>
      </c>
      <c r="O25" s="3">
        <f>Aurora!M8*1000</f>
        <v>34322.85421875</v>
      </c>
      <c r="P25" s="3">
        <f>C25/8760</f>
        <v>33.56609793717894</v>
      </c>
    </row>
    <row r="26" spans="1:15" ht="12.75">
      <c r="A26" s="3" t="s">
        <v>111</v>
      </c>
      <c r="C26" s="76">
        <f aca="true" t="shared" si="8" ref="C26:O26">C27/C25</f>
        <v>35.45839529235248</v>
      </c>
      <c r="D26" s="79">
        <f>D27/D25</f>
        <v>35.452319359076256</v>
      </c>
      <c r="E26" s="79">
        <f t="shared" si="8"/>
        <v>35.44092079133394</v>
      </c>
      <c r="F26" s="79">
        <f t="shared" si="8"/>
        <v>35.443652655930336</v>
      </c>
      <c r="G26" s="79" t="e">
        <f t="shared" si="8"/>
        <v>#DIV/0!</v>
      </c>
      <c r="H26" s="79" t="e">
        <f t="shared" si="8"/>
        <v>#DIV/0!</v>
      </c>
      <c r="I26" s="79"/>
      <c r="J26" s="79">
        <f t="shared" si="8"/>
        <v>35.569779449954304</v>
      </c>
      <c r="K26" s="79">
        <f t="shared" si="8"/>
        <v>35.449553421587304</v>
      </c>
      <c r="L26" s="79">
        <f t="shared" si="8"/>
        <v>35.44732390064532</v>
      </c>
      <c r="M26" s="79">
        <f t="shared" si="8"/>
        <v>35.44705371636542</v>
      </c>
      <c r="N26" s="79">
        <f t="shared" si="8"/>
        <v>35.44691272874123</v>
      </c>
      <c r="O26" s="79">
        <f t="shared" si="8"/>
        <v>35.445956112027886</v>
      </c>
    </row>
    <row r="27" spans="1:15" ht="12.75">
      <c r="A27" t="s">
        <v>41</v>
      </c>
      <c r="C27" s="32">
        <f>SUM(D27:O27)</f>
        <v>10426151.729125977</v>
      </c>
      <c r="D27" s="34">
        <f>Aurora!B28*1000</f>
        <v>1209280.0134277344</v>
      </c>
      <c r="E27" s="34">
        <f>Aurora!C28*1000</f>
        <v>1101680.0537109375</v>
      </c>
      <c r="F27" s="34">
        <f>Aurora!D28*1000</f>
        <v>1201676.1529541016</v>
      </c>
      <c r="G27" s="34">
        <f>Aurora!E28*1000</f>
        <v>0</v>
      </c>
      <c r="H27" s="34">
        <f>Aurora!F28*1000</f>
        <v>0</v>
      </c>
      <c r="I27" s="34">
        <f>Aurora!G28*1000</f>
        <v>0</v>
      </c>
      <c r="J27" s="34">
        <f>Aurora!H28*1000</f>
        <v>988378.8635253906</v>
      </c>
      <c r="K27" s="34">
        <f>Aurora!I28*1000</f>
        <v>1201204.9438476562</v>
      </c>
      <c r="L27" s="34">
        <f>Aurora!J28*1000</f>
        <v>1134647.0947265625</v>
      </c>
      <c r="M27" s="34">
        <f>Aurora!K28*1000</f>
        <v>1201776.0009765625</v>
      </c>
      <c r="N27" s="34">
        <f>Aurora!L28*1000</f>
        <v>1170902.2216796875</v>
      </c>
      <c r="O27" s="34">
        <f>Aurora!M28*1000</f>
        <v>1216606.3842773438</v>
      </c>
    </row>
    <row r="28" spans="3:15" ht="12.75">
      <c r="C28" s="8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6" ht="12.75">
      <c r="A29" t="s">
        <v>99</v>
      </c>
      <c r="C29" s="29">
        <f>SUM(D29:O29)</f>
        <v>1274731.0408540345</v>
      </c>
      <c r="D29" s="3">
        <f>Aurora!B7*1000</f>
        <v>123590.75070800782</v>
      </c>
      <c r="E29" s="3">
        <f>Aurora!C7*1000</f>
        <v>118070.67558593751</v>
      </c>
      <c r="F29" s="3">
        <f>Aurora!D7*1000</f>
        <v>95101.80736328124</v>
      </c>
      <c r="G29" s="3">
        <f>Aurora!E7*1000</f>
        <v>34192.25237747192</v>
      </c>
      <c r="H29" s="3">
        <f>Aurora!F7*1000</f>
        <v>17603.68450683594</v>
      </c>
      <c r="I29" s="3">
        <f>Aurora!G7*1000</f>
        <v>33405.964375</v>
      </c>
      <c r="J29" s="3">
        <f>Aurora!H7*1000</f>
        <v>123608.20894531251</v>
      </c>
      <c r="K29" s="3">
        <f>Aurora!I7*1000</f>
        <v>157139.1053125</v>
      </c>
      <c r="L29" s="3">
        <f>Aurora!J7*1000</f>
        <v>150714.69515625</v>
      </c>
      <c r="M29" s="3">
        <f>Aurora!K7*1000</f>
        <v>123389.31</v>
      </c>
      <c r="N29" s="3">
        <f>Aurora!L7*1000</f>
        <v>144354.92320312498</v>
      </c>
      <c r="O29" s="3">
        <f>Aurora!M7*1000</f>
        <v>153559.66332031248</v>
      </c>
      <c r="P29" s="3">
        <f>C29/8760</f>
        <v>145.51724210662493</v>
      </c>
    </row>
    <row r="30" spans="1:15" ht="12.75">
      <c r="A30" t="s">
        <v>109</v>
      </c>
      <c r="C30" s="76">
        <f>C31/C29</f>
        <v>43.88567554307105</v>
      </c>
      <c r="D30" s="79">
        <f>D31/D29</f>
        <v>46.47983856587001</v>
      </c>
      <c r="E30" s="79">
        <f aca="true" t="shared" si="9" ref="E30:O30">E31/E29</f>
        <v>46.08519811506338</v>
      </c>
      <c r="F30" s="79">
        <f t="shared" si="9"/>
        <v>44.99676459952145</v>
      </c>
      <c r="G30" s="79">
        <f t="shared" si="9"/>
        <v>41.50718133371476</v>
      </c>
      <c r="H30" s="79">
        <f t="shared" si="9"/>
        <v>41.56666196540387</v>
      </c>
      <c r="I30" s="79">
        <f t="shared" si="9"/>
        <v>42.37485171831389</v>
      </c>
      <c r="J30" s="79">
        <f t="shared" si="9"/>
        <v>42.02567808748519</v>
      </c>
      <c r="K30" s="79">
        <f t="shared" si="9"/>
        <v>41.4104682109551</v>
      </c>
      <c r="L30" s="79">
        <f t="shared" si="9"/>
        <v>41.790719868112376</v>
      </c>
      <c r="M30" s="79">
        <f t="shared" si="9"/>
        <v>43.06619489398447</v>
      </c>
      <c r="N30" s="79">
        <f t="shared" si="9"/>
        <v>44.714623877192295</v>
      </c>
      <c r="O30" s="79">
        <f t="shared" si="9"/>
        <v>46.508078662149515</v>
      </c>
    </row>
    <row r="31" spans="1:15" ht="12.75">
      <c r="A31" t="s">
        <v>97</v>
      </c>
      <c r="C31" s="32">
        <f>SUM(D31:O31)</f>
        <v>55942432.86360141</v>
      </c>
      <c r="D31" s="27">
        <f>Aurora!B27*1000</f>
        <v>5744478.141142888</v>
      </c>
      <c r="E31" s="27">
        <f>Aurora!C27*1000</f>
        <v>5441310.475957307</v>
      </c>
      <c r="F31" s="27">
        <f>Aurora!D27*1000</f>
        <v>4279273.638914602</v>
      </c>
      <c r="G31" s="27">
        <f>Aurora!E27*1000</f>
        <v>1419224.019639867</v>
      </c>
      <c r="H31" s="27">
        <f>Aurora!F27*1000</f>
        <v>731726.4032412667</v>
      </c>
      <c r="I31" s="27">
        <f>Aurora!G27*1000</f>
        <v>1415572.7868979014</v>
      </c>
      <c r="J31" s="27">
        <f>Aurora!H27*1000</f>
        <v>5194718.798106311</v>
      </c>
      <c r="K31" s="27">
        <f>Aurora!I27*1000</f>
        <v>6507203.925241208</v>
      </c>
      <c r="L31" s="27">
        <f>Aurora!J27*1000</f>
        <v>6298475.6052827975</v>
      </c>
      <c r="M31" s="27">
        <f>Aurora!K27*1000</f>
        <v>5313908.072294267</v>
      </c>
      <c r="N31" s="27">
        <f>Aurora!L27*1000</f>
        <v>6454776.095848712</v>
      </c>
      <c r="O31" s="27">
        <f>Aurora!M27*1000</f>
        <v>7141764.901034288</v>
      </c>
    </row>
    <row r="32" spans="3:15" ht="12.75"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t="s">
        <v>222</v>
      </c>
      <c r="C33" s="29">
        <f>SUM(D33:O33)</f>
        <v>1253758.2496105956</v>
      </c>
      <c r="D33" s="3">
        <f>Aurora!B10*1000</f>
        <v>123396.08964843751</v>
      </c>
      <c r="E33" s="3">
        <f>Aurora!C10*1000</f>
        <v>118198.19356445312</v>
      </c>
      <c r="F33" s="3">
        <f>Aurora!D10*1000</f>
        <v>96182.3826171875</v>
      </c>
      <c r="G33" s="3">
        <f>Aurora!E10*1000</f>
        <v>31783.339691162106</v>
      </c>
      <c r="H33" s="3">
        <f>Aurora!F10*1000</f>
        <v>20432.231896972655</v>
      </c>
      <c r="I33" s="3">
        <f>Aurora!G10*1000</f>
        <v>20740.002368164063</v>
      </c>
      <c r="J33" s="3">
        <f>Aurora!H10*1000</f>
        <v>112685.9641796875</v>
      </c>
      <c r="K33" s="3">
        <f>Aurora!I10*1000</f>
        <v>153913.6621875</v>
      </c>
      <c r="L33" s="3">
        <f>Aurora!J10*1000</f>
        <v>150555.886171875</v>
      </c>
      <c r="M33" s="3">
        <f>Aurora!K10*1000</f>
        <v>123759.54498046874</v>
      </c>
      <c r="N33" s="3">
        <f>Aurora!L10*1000</f>
        <v>147667.5266015625</v>
      </c>
      <c r="O33" s="3">
        <f>Aurora!M10*1000</f>
        <v>154443.425703125</v>
      </c>
    </row>
    <row r="34" spans="1:15" ht="12.75">
      <c r="A34" t="s">
        <v>223</v>
      </c>
      <c r="C34" s="76">
        <f>C35/C33</f>
        <v>46.54301283587992</v>
      </c>
      <c r="D34" s="79">
        <f>D35/D33</f>
        <v>48.151428031507244</v>
      </c>
      <c r="E34" s="79">
        <f aca="true" t="shared" si="10" ref="E34:O34">E35/E33</f>
        <v>47.81553506663631</v>
      </c>
      <c r="F34" s="79">
        <f t="shared" si="10"/>
        <v>46.816056491888446</v>
      </c>
      <c r="G34" s="79">
        <f t="shared" si="10"/>
        <v>43.67443095641875</v>
      </c>
      <c r="H34" s="79">
        <f t="shared" si="10"/>
        <v>44.794598541284444</v>
      </c>
      <c r="I34" s="79">
        <f t="shared" si="10"/>
        <v>46.53697988526767</v>
      </c>
      <c r="J34" s="79">
        <f t="shared" si="10"/>
        <v>45.704481091636154</v>
      </c>
      <c r="K34" s="79">
        <f t="shared" si="10"/>
        <v>44.882030105083565</v>
      </c>
      <c r="L34" s="79">
        <f t="shared" si="10"/>
        <v>44.8187195434215</v>
      </c>
      <c r="M34" s="79">
        <f t="shared" si="10"/>
        <v>45.47926913381078</v>
      </c>
      <c r="N34" s="79">
        <f t="shared" si="10"/>
        <v>47.181197931963474</v>
      </c>
      <c r="O34" s="79">
        <f t="shared" si="10"/>
        <v>49.12666892734771</v>
      </c>
    </row>
    <row r="35" spans="1:15" ht="12.75">
      <c r="A35" t="s">
        <v>224</v>
      </c>
      <c r="C35" s="32">
        <f>SUM(D35:O35)</f>
        <v>58353686.3047163</v>
      </c>
      <c r="D35" s="27">
        <f>Aurora!B30*1000</f>
        <v>5941697.930076155</v>
      </c>
      <c r="E35" s="27">
        <f>Aurora!C30*1000</f>
        <v>5651709.869194174</v>
      </c>
      <c r="F35" s="27">
        <f>Aurora!D30*1000</f>
        <v>4502879.8581306795</v>
      </c>
      <c r="G35" s="27">
        <f>Aurora!E30*1000</f>
        <v>1388119.2749060632</v>
      </c>
      <c r="H35" s="27">
        <f>Aurora!F30*1000</f>
        <v>915253.6251273168</v>
      </c>
      <c r="I35" s="27">
        <f>Aurora!G30*1000</f>
        <v>965177.0730276549</v>
      </c>
      <c r="J35" s="27">
        <f>Aurora!H30*1000</f>
        <v>5150253.519143316</v>
      </c>
      <c r="K35" s="27">
        <f>Aurora!I30*1000</f>
        <v>6907957.619883038</v>
      </c>
      <c r="L35" s="27">
        <f>Aurora!J30*1000</f>
        <v>6747722.037948557</v>
      </c>
      <c r="M35" s="27">
        <f>Aurora!K30*1000</f>
        <v>5628493.654044699</v>
      </c>
      <c r="N35" s="27">
        <f>Aurora!L30*1000</f>
        <v>6967130.800711802</v>
      </c>
      <c r="O35" s="27">
        <f>Aurora!M30*1000</f>
        <v>7587291.042522845</v>
      </c>
    </row>
    <row r="36" spans="3:15" ht="12.75"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7" ht="12.75">
      <c r="A37" t="s">
        <v>64</v>
      </c>
      <c r="C37" s="29">
        <f>SUM(D37:O37)</f>
        <v>3696.836421508789</v>
      </c>
      <c r="D37" s="3">
        <f>Aurora!B5*1000</f>
        <v>576.8025313568116</v>
      </c>
      <c r="E37" s="3">
        <f>Aurora!C5*1000</f>
        <v>163.2531669998169</v>
      </c>
      <c r="F37" s="3">
        <f>Aurora!D5*1000</f>
        <v>55.202399826049806</v>
      </c>
      <c r="G37" s="3">
        <f>Aurora!E5*1000</f>
        <v>3.763799858093262</v>
      </c>
      <c r="H37" s="3">
        <f>Aurora!F5*1000</f>
        <v>15.430168685913085</v>
      </c>
      <c r="I37" s="3">
        <f>Aurora!G5*1000</f>
        <v>94.70215330123901</v>
      </c>
      <c r="J37" s="3">
        <f>Aurora!H5*1000</f>
        <v>1728.6952192306517</v>
      </c>
      <c r="K37" s="3">
        <f>Aurora!I5*1000</f>
        <v>933.7921789932251</v>
      </c>
      <c r="L37" s="3">
        <f>Aurora!J5*1000</f>
        <v>39.31079933166504</v>
      </c>
      <c r="M37" s="3">
        <f>Aurora!K5*1000</f>
        <v>5.436600036621094</v>
      </c>
      <c r="N37" s="3">
        <f>Aurora!L5*1000</f>
        <v>25.435814094543456</v>
      </c>
      <c r="O37" s="3">
        <f>Aurora!M5*1000</f>
        <v>55.01158979415894</v>
      </c>
      <c r="P37" s="3">
        <f>C37/8760</f>
        <v>0.42201329012657407</v>
      </c>
      <c r="Q37" s="89">
        <f>SUM(P37:P49)</f>
        <v>1.5807546015221234</v>
      </c>
    </row>
    <row r="38" spans="1:15" ht="12.75">
      <c r="A38" t="s">
        <v>110</v>
      </c>
      <c r="C38" s="76">
        <f>C39/C37</f>
        <v>59.59717185784583</v>
      </c>
      <c r="D38" s="79">
        <f>IF(D37&gt;0,D39/D37,"")</f>
        <v>63.42562631841761</v>
      </c>
      <c r="E38" s="79">
        <f aca="true" t="shared" si="11" ref="E38:O38">IF(E37&gt;0,E39/E37,"")</f>
        <v>63.08467909314493</v>
      </c>
      <c r="F38" s="79">
        <f t="shared" si="11"/>
        <v>61.39486947699643</v>
      </c>
      <c r="G38" s="79">
        <f t="shared" si="11"/>
        <v>57.70049851643055</v>
      </c>
      <c r="H38" s="79">
        <f t="shared" si="11"/>
        <v>55.731859111276634</v>
      </c>
      <c r="I38" s="79">
        <f t="shared" si="11"/>
        <v>56.87196811157598</v>
      </c>
      <c r="J38" s="79">
        <f t="shared" si="11"/>
        <v>58.09048680969549</v>
      </c>
      <c r="K38" s="79">
        <f t="shared" si="11"/>
        <v>59.27318944253385</v>
      </c>
      <c r="L38" s="79">
        <f t="shared" si="11"/>
        <v>58.090975265002484</v>
      </c>
      <c r="M38" s="79">
        <f t="shared" si="11"/>
        <v>55.603995904831365</v>
      </c>
      <c r="N38" s="79">
        <f t="shared" si="11"/>
        <v>61.94934878932905</v>
      </c>
      <c r="O38" s="79">
        <f t="shared" si="11"/>
        <v>66.43643583144025</v>
      </c>
    </row>
    <row r="39" spans="1:15" ht="12.75">
      <c r="A39" t="s">
        <v>63</v>
      </c>
      <c r="C39" s="32">
        <f>SUM(D39:O39)</f>
        <v>220320.99554300308</v>
      </c>
      <c r="D39" s="27">
        <f>Aurora!B25*1000</f>
        <v>36584.06181335449</v>
      </c>
      <c r="E39" s="27">
        <f>Aurora!C25*1000</f>
        <v>10298.773651123047</v>
      </c>
      <c r="F39" s="27">
        <f>Aurora!D25*1000</f>
        <v>3389.1441321372986</v>
      </c>
      <c r="G39" s="27">
        <f>Aurora!E25*1000</f>
        <v>217.17312812805176</v>
      </c>
      <c r="H39" s="27">
        <f>Aurora!F25*1000</f>
        <v>859.9519872665405</v>
      </c>
      <c r="I39" s="27">
        <f>Aurora!G25*1000</f>
        <v>5385.897842645645</v>
      </c>
      <c r="J39" s="27">
        <f>Aurora!H25*1000</f>
        <v>100420.74683070183</v>
      </c>
      <c r="K39" s="27">
        <f>Aurora!I25*1000</f>
        <v>55348.840725421906</v>
      </c>
      <c r="L39" s="27">
        <f>Aurora!J25*1000</f>
        <v>2283.60267162323</v>
      </c>
      <c r="M39" s="27">
        <f>Aurora!K25*1000</f>
        <v>302.29668617248535</v>
      </c>
      <c r="N39" s="27">
        <f>Aurora!L25*1000</f>
        <v>1575.7321190834045</v>
      </c>
      <c r="O39" s="27">
        <f>Aurora!M25*1000</f>
        <v>3654.773955345154</v>
      </c>
    </row>
    <row r="40" spans="3:15" ht="12.75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6" ht="12.75">
      <c r="A41" t="s">
        <v>66</v>
      </c>
      <c r="C41" s="29">
        <f>SUM(D41:O41)</f>
        <v>4455.939296150208</v>
      </c>
      <c r="D41" s="3">
        <f>Aurora!B9*1000</f>
        <v>769.9368156433105</v>
      </c>
      <c r="E41" s="3">
        <f>Aurora!C9*1000</f>
        <v>392.26968246459967</v>
      </c>
      <c r="F41" s="3">
        <f>Aurora!D9*1000</f>
        <v>213.2145076751709</v>
      </c>
      <c r="G41" s="3">
        <f>Aurora!E9*1000</f>
        <v>0</v>
      </c>
      <c r="H41" s="3">
        <f>Aurora!F9*1000</f>
        <v>0</v>
      </c>
      <c r="I41" s="3">
        <f>Aurora!G9*1000</f>
        <v>5.361230049133301</v>
      </c>
      <c r="J41" s="3">
        <f>Aurora!H9*1000</f>
        <v>969.4109951782227</v>
      </c>
      <c r="K41" s="3">
        <f>Aurora!I9*1000</f>
        <v>1189.35367767334</v>
      </c>
      <c r="L41" s="3">
        <f>Aurora!J9*1000</f>
        <v>93.70857032775879</v>
      </c>
      <c r="M41" s="3">
        <f>Aurora!K9*1000</f>
        <v>19.62367904663086</v>
      </c>
      <c r="N41" s="3">
        <f>Aurora!L9*1000</f>
        <v>192.45995834350583</v>
      </c>
      <c r="O41" s="3">
        <f>Aurora!M9*1000</f>
        <v>610.6001797485352</v>
      </c>
      <c r="P41" s="3">
        <f>C41/8760</f>
        <v>0.5086688694235397</v>
      </c>
    </row>
    <row r="42" spans="1:15" ht="12.75">
      <c r="A42" t="s">
        <v>113</v>
      </c>
      <c r="C42" s="76">
        <f>C43/C41</f>
        <v>59.25025760869522</v>
      </c>
      <c r="D42" s="79">
        <f aca="true" t="shared" si="12" ref="D42:O42">IF(D41&gt;0,D43/D41,"")</f>
        <v>61.344191115863005</v>
      </c>
      <c r="E42" s="79">
        <f t="shared" si="12"/>
        <v>61.48161084722911</v>
      </c>
      <c r="F42" s="79">
        <f t="shared" si="12"/>
        <v>59.68886065517165</v>
      </c>
      <c r="G42" s="79">
        <f t="shared" si="12"/>
      </c>
      <c r="H42" s="79">
        <f t="shared" si="12"/>
      </c>
      <c r="I42" s="79">
        <f t="shared" si="12"/>
        <v>69.03700082628305</v>
      </c>
      <c r="J42" s="79">
        <f t="shared" si="12"/>
        <v>56.40174547026223</v>
      </c>
      <c r="K42" s="79">
        <f t="shared" si="12"/>
        <v>57.195970778505135</v>
      </c>
      <c r="L42" s="79">
        <f t="shared" si="12"/>
        <v>55.37146882332416</v>
      </c>
      <c r="M42" s="79">
        <f t="shared" si="12"/>
        <v>55.57082436240814</v>
      </c>
      <c r="N42" s="79">
        <f t="shared" si="12"/>
        <v>60.31905161439376</v>
      </c>
      <c r="O42" s="79">
        <f t="shared" si="12"/>
        <v>63.837806315333445</v>
      </c>
    </row>
    <row r="43" spans="1:15" ht="12.75">
      <c r="A43" t="s">
        <v>65</v>
      </c>
      <c r="C43" s="32">
        <f>SUM(D43:O43)</f>
        <v>264015.5511856079</v>
      </c>
      <c r="D43" s="27">
        <f>Aurora!B29*1000</f>
        <v>47231.15116596222</v>
      </c>
      <c r="E43" s="27">
        <f>Aurora!C29*1000</f>
        <v>24117.37196445465</v>
      </c>
      <c r="F43" s="27">
        <f>Aurora!D29*1000</f>
        <v>12726.531038284302</v>
      </c>
      <c r="G43" s="27">
        <f>Aurora!E29*1000</f>
        <v>0</v>
      </c>
      <c r="H43" s="27">
        <f>Aurora!F29*1000</f>
        <v>0</v>
      </c>
      <c r="I43" s="27">
        <f>Aurora!G29*1000</f>
        <v>370.1232433319092</v>
      </c>
      <c r="J43" s="27">
        <f>Aurora!H29*1000</f>
        <v>54676.47220611572</v>
      </c>
      <c r="K43" s="27">
        <f>Aurora!I29*1000</f>
        <v>68026.23819351196</v>
      </c>
      <c r="L43" s="27">
        <f>Aurora!J29*1000</f>
        <v>5188.781180381775</v>
      </c>
      <c r="M43" s="27">
        <f>Aurora!K29*1000</f>
        <v>1090.5040216445923</v>
      </c>
      <c r="N43" s="27">
        <f>Aurora!L29*1000</f>
        <v>11609.002161026001</v>
      </c>
      <c r="O43" s="27">
        <f>Aurora!M29*1000</f>
        <v>38979.376010894775</v>
      </c>
    </row>
    <row r="44" spans="3:15" ht="12.75"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6" ht="12.75">
      <c r="A45" t="s">
        <v>42</v>
      </c>
      <c r="C45" s="29">
        <f>SUM(D45:O45)</f>
        <v>4740.402361755371</v>
      </c>
      <c r="D45" s="3">
        <f>Aurora!B12*1000</f>
        <v>0</v>
      </c>
      <c r="E45" s="3">
        <f>Aurora!C12*1000</f>
        <v>0</v>
      </c>
      <c r="F45" s="3">
        <f>Aurora!D12*1000</f>
        <v>0</v>
      </c>
      <c r="G45" s="3">
        <f>Aurora!E12*1000</f>
        <v>0</v>
      </c>
      <c r="H45" s="3">
        <f>Aurora!F12*1000</f>
        <v>0</v>
      </c>
      <c r="I45" s="3">
        <f>Aurora!G12*1000</f>
        <v>86.46657226562499</v>
      </c>
      <c r="J45" s="3">
        <f>Aurora!H12*1000</f>
        <v>2852.2657150268556</v>
      </c>
      <c r="K45" s="3">
        <f>Aurora!I12*1000</f>
        <v>1769.010390625</v>
      </c>
      <c r="L45" s="3">
        <f>Aurora!J12*1000</f>
        <v>32.659683837890626</v>
      </c>
      <c r="M45" s="3">
        <f>Aurora!K12*1000</f>
        <v>0</v>
      </c>
      <c r="N45" s="3">
        <f>Aurora!L12*1000</f>
        <v>0</v>
      </c>
      <c r="O45" s="3">
        <f>Aurora!M12*1000</f>
        <v>0</v>
      </c>
      <c r="P45" s="3">
        <f>C45/8760</f>
        <v>0.5411418221181931</v>
      </c>
    </row>
    <row r="46" spans="1:15" ht="12.75">
      <c r="A46" t="s">
        <v>107</v>
      </c>
      <c r="C46" s="76">
        <f>C47/C45</f>
        <v>77.52814439809067</v>
      </c>
      <c r="D46" s="79">
        <f aca="true" t="shared" si="13" ref="D46:O46">IF(D45&gt;0,D47/D45,"")</f>
      </c>
      <c r="E46" s="79">
        <f t="shared" si="13"/>
      </c>
      <c r="F46" s="79">
        <f t="shared" si="13"/>
      </c>
      <c r="G46" s="79">
        <f t="shared" si="13"/>
      </c>
      <c r="H46" s="79">
        <f t="shared" si="13"/>
      </c>
      <c r="I46" s="79">
        <f t="shared" si="13"/>
        <v>75.67395698521726</v>
      </c>
      <c r="J46" s="79">
        <f t="shared" si="13"/>
        <v>76.8615131480159</v>
      </c>
      <c r="K46" s="79">
        <f t="shared" si="13"/>
        <v>78.72565303200258</v>
      </c>
      <c r="L46" s="79">
        <f t="shared" si="13"/>
        <v>75.79296142903334</v>
      </c>
      <c r="M46" s="79">
        <f t="shared" si="13"/>
      </c>
      <c r="N46" s="79">
        <f t="shared" si="13"/>
      </c>
      <c r="O46" s="79">
        <f t="shared" si="13"/>
      </c>
    </row>
    <row r="47" spans="1:15" ht="12.75">
      <c r="A47" t="s">
        <v>43</v>
      </c>
      <c r="C47" s="32">
        <f>SUM(D47:O47)</f>
        <v>367514.59880722046</v>
      </c>
      <c r="D47" s="27">
        <f>Aurora!B32*1000</f>
        <v>0</v>
      </c>
      <c r="E47" s="27">
        <f>Aurora!C32*1000</f>
        <v>0</v>
      </c>
      <c r="F47" s="27">
        <f>Aurora!D32*1000</f>
        <v>0</v>
      </c>
      <c r="G47" s="27">
        <f>Aurora!E32*1000</f>
        <v>0</v>
      </c>
      <c r="H47" s="27">
        <f>Aurora!F32*1000</f>
        <v>0</v>
      </c>
      <c r="I47" s="27">
        <f>Aurora!G32*1000</f>
        <v>6543.267670288085</v>
      </c>
      <c r="J47" s="27">
        <f>Aurora!H32*1000</f>
        <v>219229.45875717164</v>
      </c>
      <c r="K47" s="27">
        <f>Aurora!I32*1000</f>
        <v>139266.4982223511</v>
      </c>
      <c r="L47" s="27">
        <f>Aurora!J32*1000</f>
        <v>2475.374157409668</v>
      </c>
      <c r="M47" s="27">
        <f>Aurora!K32*1000</f>
        <v>0</v>
      </c>
      <c r="N47" s="27">
        <f>Aurora!L32*1000</f>
        <v>0</v>
      </c>
      <c r="O47" s="27">
        <f>Aurora!M32*1000</f>
        <v>0</v>
      </c>
    </row>
    <row r="48" spans="3:15" ht="12.75">
      <c r="C48" s="4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6" ht="12.75">
      <c r="A49" t="s">
        <v>47</v>
      </c>
      <c r="C49" s="29">
        <f>SUM(D49:O49)</f>
        <v>954.2322299194336</v>
      </c>
      <c r="D49" s="3">
        <f>Aurora!B11*1000</f>
        <v>0</v>
      </c>
      <c r="E49" s="3">
        <f>Aurora!C11*1000</f>
        <v>0</v>
      </c>
      <c r="F49" s="3">
        <f>Aurora!D11*1000</f>
        <v>0</v>
      </c>
      <c r="G49" s="3">
        <f>Aurora!E11*1000</f>
        <v>0</v>
      </c>
      <c r="H49" s="3">
        <f>Aurora!F11*1000</f>
        <v>0</v>
      </c>
      <c r="I49" s="3">
        <f>Aurora!G11*1000</f>
        <v>7.8109936523437495</v>
      </c>
      <c r="J49" s="3">
        <f>Aurora!H11*1000</f>
        <v>519.0007415771485</v>
      </c>
      <c r="K49" s="3">
        <f>Aurora!I11*1000</f>
        <v>423.4825198364258</v>
      </c>
      <c r="L49" s="3">
        <f>Aurora!J11*1000</f>
        <v>3.937974853515625</v>
      </c>
      <c r="M49" s="3">
        <f>Aurora!K11*1000</f>
        <v>0</v>
      </c>
      <c r="N49" s="3">
        <f>Aurora!L11*1000</f>
        <v>0</v>
      </c>
      <c r="O49" s="3">
        <f>Aurora!M11*1000</f>
        <v>0</v>
      </c>
      <c r="P49" s="3">
        <f>C49/8760</f>
        <v>0.10893061985381662</v>
      </c>
    </row>
    <row r="50" spans="1:15" ht="12.75">
      <c r="A50" t="s">
        <v>108</v>
      </c>
      <c r="C50" s="76">
        <f>C51/C49</f>
        <v>83.68998358768464</v>
      </c>
      <c r="D50" s="79">
        <f aca="true" t="shared" si="14" ref="D50:O50">IF(D49&gt;0,D51/D49,"")</f>
      </c>
      <c r="E50" s="79">
        <f t="shared" si="14"/>
      </c>
      <c r="F50" s="79">
        <f t="shared" si="14"/>
      </c>
      <c r="G50" s="79">
        <f t="shared" si="14"/>
      </c>
      <c r="H50" s="79">
        <f t="shared" si="14"/>
      </c>
      <c r="I50" s="79">
        <f t="shared" si="14"/>
        <v>81.22438177923681</v>
      </c>
      <c r="J50" s="79">
        <f t="shared" si="14"/>
        <v>82.53960489483143</v>
      </c>
      <c r="K50" s="79">
        <f t="shared" si="14"/>
        <v>85.18381733098154</v>
      </c>
      <c r="L50" s="79">
        <f t="shared" si="14"/>
        <v>79.54920471675509</v>
      </c>
      <c r="M50" s="79">
        <f t="shared" si="14"/>
      </c>
      <c r="N50" s="79">
        <f t="shared" si="14"/>
      </c>
      <c r="O50" s="79">
        <f t="shared" si="14"/>
      </c>
    </row>
    <row r="51" spans="1:15" ht="12.75">
      <c r="A51" t="s">
        <v>48</v>
      </c>
      <c r="C51" s="32">
        <f>SUM(D51:O51)</f>
        <v>79859.67966079712</v>
      </c>
      <c r="D51" s="27">
        <f>Aurora!B31*1000</f>
        <v>0</v>
      </c>
      <c r="E51" s="27">
        <f>Aurora!C31*1000</f>
        <v>0</v>
      </c>
      <c r="F51" s="27">
        <f>Aurora!D31*1000</f>
        <v>0</v>
      </c>
      <c r="G51" s="27">
        <f>Aurora!E31*1000</f>
        <v>0</v>
      </c>
      <c r="H51" s="27">
        <f>Aurora!F31*1000</f>
        <v>0</v>
      </c>
      <c r="I51" s="27">
        <f>Aurora!G31*1000</f>
        <v>634.4431304931641</v>
      </c>
      <c r="J51" s="27">
        <f>Aurora!H31*1000</f>
        <v>42838.116149902344</v>
      </c>
      <c r="K51" s="27">
        <f>Aurora!I31*1000</f>
        <v>36073.85761260986</v>
      </c>
      <c r="L51" s="27">
        <f>Aurora!J31*1000</f>
        <v>313.26276779174805</v>
      </c>
      <c r="M51" s="27">
        <f>Aurora!K31*1000</f>
        <v>0</v>
      </c>
      <c r="N51" s="27">
        <f>Aurora!L31*1000</f>
        <v>0</v>
      </c>
      <c r="O51" s="27">
        <f>Aurora!M31*1000</f>
        <v>0</v>
      </c>
    </row>
    <row r="52" spans="3:15" ht="12.75"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t="s">
        <v>44</v>
      </c>
      <c r="C53" s="55">
        <f>SUM(D53:O53)</f>
        <v>146538665.00144893</v>
      </c>
      <c r="D53" s="34">
        <f aca="true" t="shared" si="15" ref="D53:J53">D23+D27+D31+D35+D39+D43+D47+D51</f>
        <v>14848993.30812414</v>
      </c>
      <c r="E53" s="34">
        <f t="shared" si="15"/>
        <v>13938095.670454558</v>
      </c>
      <c r="F53" s="34">
        <f t="shared" si="15"/>
        <v>11858689.861302618</v>
      </c>
      <c r="G53" s="34">
        <f t="shared" si="15"/>
        <v>4466673.508445542</v>
      </c>
      <c r="H53" s="34">
        <f t="shared" si="15"/>
        <v>3032887.366220108</v>
      </c>
      <c r="I53" s="34">
        <f t="shared" si="15"/>
        <v>3692455.352676573</v>
      </c>
      <c r="J53" s="34">
        <f t="shared" si="15"/>
        <v>13557572.146593908</v>
      </c>
      <c r="K53" s="34">
        <f>K23+K27+K31+K35+K39+K43+K47+K51</f>
        <v>16806305.26479025</v>
      </c>
      <c r="L53" s="34">
        <f>L23+L27+L31+L35+L39+L43+L47+L51</f>
        <v>16022154.268256608</v>
      </c>
      <c r="M53" s="34">
        <f>M23+M27+M31+M35+M39+M43+M47+M51</f>
        <v>14024187.349312408</v>
      </c>
      <c r="N53" s="34">
        <f>N23+N27+N31+N35+N39+N43+N47+N51</f>
        <v>16437042.924785938</v>
      </c>
      <c r="O53" s="34">
        <f>O23+O27+O31+O35+O39+O43+O47+O51</f>
        <v>17853607.980486263</v>
      </c>
    </row>
    <row r="54" spans="3:9" ht="12.75">
      <c r="C54" s="27"/>
      <c r="D54" s="27"/>
      <c r="E54" s="27"/>
      <c r="F54" s="27"/>
      <c r="G54" s="27"/>
      <c r="H54" s="27"/>
      <c r="I54" s="27"/>
    </row>
    <row r="55" spans="1:3" s="12" customFormat="1" ht="12.75">
      <c r="A55" s="36" t="s">
        <v>98</v>
      </c>
      <c r="B55" s="37"/>
      <c r="C55" s="74">
        <f>C53+C13+C9</f>
        <v>150409692.65731746</v>
      </c>
    </row>
    <row r="56" spans="1:9" s="12" customFormat="1" ht="12.75">
      <c r="A56" s="9"/>
      <c r="C56" s="38"/>
      <c r="D56" s="38"/>
      <c r="E56" s="38"/>
      <c r="F56" s="38"/>
      <c r="G56" s="38"/>
      <c r="H56" s="38"/>
      <c r="I56" s="38"/>
    </row>
  </sheetData>
  <sheetProtection/>
  <printOptions/>
  <pageMargins left="0.75" right="0.75" top="1" bottom="1" header="0.5" footer="0.5"/>
  <pageSetup fitToHeight="1" fitToWidth="1" horizontalDpi="600" verticalDpi="600" orientation="landscape" scale="54" r:id="rId1"/>
  <headerFooter alignWithMargins="0">
    <oddHeader>&amp;RExhibit No. _____ (WGJ-4)</oddHeader>
    <oddFooter>&amp;R&amp;12&amp;P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25">
      <selection activeCell="D20" sqref="D20"/>
    </sheetView>
  </sheetViews>
  <sheetFormatPr defaultColWidth="9.00390625" defaultRowHeight="12.75"/>
  <cols>
    <col min="1" max="1" width="20.125" style="63" customWidth="1"/>
    <col min="2" max="13" width="9.125" style="63" customWidth="1"/>
    <col min="14" max="14" width="10.25390625" style="65" customWidth="1"/>
    <col min="15" max="15" width="9.25390625" style="63" customWidth="1"/>
    <col min="16" max="16384" width="9.125" style="63" customWidth="1"/>
  </cols>
  <sheetData>
    <row r="1" spans="1:15" ht="16.5" thickBot="1">
      <c r="A1" s="60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61"/>
    </row>
    <row r="2" spans="1:13" ht="12.75">
      <c r="A2" s="64"/>
      <c r="B2" s="73" t="s">
        <v>85</v>
      </c>
      <c r="C2" s="73" t="s">
        <v>86</v>
      </c>
      <c r="D2" s="73" t="s">
        <v>87</v>
      </c>
      <c r="E2" s="73" t="s">
        <v>88</v>
      </c>
      <c r="F2" s="73" t="s">
        <v>89</v>
      </c>
      <c r="G2" s="73" t="s">
        <v>90</v>
      </c>
      <c r="H2" s="73" t="s">
        <v>91</v>
      </c>
      <c r="I2" s="73" t="s">
        <v>92</v>
      </c>
      <c r="J2" s="73" t="s">
        <v>93</v>
      </c>
      <c r="K2" s="73" t="s">
        <v>94</v>
      </c>
      <c r="L2" s="73" t="s">
        <v>95</v>
      </c>
      <c r="M2" s="73" t="s">
        <v>96</v>
      </c>
    </row>
    <row r="3" spans="2:14" ht="12.75">
      <c r="B3" s="66">
        <v>1</v>
      </c>
      <c r="C3" s="66">
        <v>2</v>
      </c>
      <c r="D3" s="66">
        <v>3</v>
      </c>
      <c r="E3" s="66">
        <v>4</v>
      </c>
      <c r="F3" s="66">
        <v>5</v>
      </c>
      <c r="G3" s="66">
        <v>6</v>
      </c>
      <c r="H3" s="66">
        <v>7</v>
      </c>
      <c r="I3" s="66">
        <v>8</v>
      </c>
      <c r="J3" s="66">
        <v>9</v>
      </c>
      <c r="K3" s="66">
        <v>10</v>
      </c>
      <c r="L3" s="66">
        <v>11</v>
      </c>
      <c r="M3" s="66">
        <v>12</v>
      </c>
      <c r="N3" s="67" t="s">
        <v>73</v>
      </c>
    </row>
    <row r="4" spans="1:14" ht="12.75">
      <c r="A4" s="77" t="s">
        <v>74</v>
      </c>
      <c r="N4" s="78" t="s">
        <v>100</v>
      </c>
    </row>
    <row r="5" spans="1:15" ht="12.75">
      <c r="A5" s="68" t="s">
        <v>75</v>
      </c>
      <c r="B5" s="69">
        <v>0.5768025313568116</v>
      </c>
      <c r="C5" s="69">
        <v>0.1632531669998169</v>
      </c>
      <c r="D5" s="69">
        <v>0.055202399826049804</v>
      </c>
      <c r="E5" s="69">
        <v>0.0037637998580932618</v>
      </c>
      <c r="F5" s="69">
        <v>0.015430168685913084</v>
      </c>
      <c r="G5" s="69">
        <v>0.094702153301239</v>
      </c>
      <c r="H5" s="69">
        <v>1.7286952192306517</v>
      </c>
      <c r="I5" s="69">
        <v>0.9337921789932251</v>
      </c>
      <c r="J5" s="69">
        <v>0.039310799331665036</v>
      </c>
      <c r="K5" s="69">
        <v>0.005436600036621094</v>
      </c>
      <c r="L5" s="69">
        <v>0.025435814094543457</v>
      </c>
      <c r="M5" s="69">
        <v>0.05501158979415894</v>
      </c>
      <c r="N5" s="65">
        <f>SUM(B5:M5)</f>
        <v>3.6968364215087894</v>
      </c>
      <c r="O5" s="63">
        <f>N5/8760*1000</f>
        <v>0.4220132901265741</v>
      </c>
    </row>
    <row r="6" spans="1:15" ht="12.75">
      <c r="A6" s="68" t="s">
        <v>26</v>
      </c>
      <c r="B6" s="69">
        <v>147.709294765625</v>
      </c>
      <c r="C6" s="69">
        <v>135.220375</v>
      </c>
      <c r="D6" s="69">
        <v>146.70627164062498</v>
      </c>
      <c r="E6" s="69">
        <v>129.39730843750002</v>
      </c>
      <c r="F6" s="69">
        <v>104.69980757812499</v>
      </c>
      <c r="G6" s="69">
        <v>97.8725421484375</v>
      </c>
      <c r="H6" s="69">
        <v>142.0859725</v>
      </c>
      <c r="I6" s="69">
        <v>149.630775</v>
      </c>
      <c r="J6" s="69">
        <v>144.87891812499998</v>
      </c>
      <c r="K6" s="69">
        <v>148.495640625</v>
      </c>
      <c r="L6" s="69">
        <v>144.87896875</v>
      </c>
      <c r="M6" s="69">
        <v>147.29758218749998</v>
      </c>
      <c r="N6" s="65">
        <f aca="true" t="shared" si="0" ref="N6:N12">SUM(B6:M6)</f>
        <v>1638.8734567578126</v>
      </c>
      <c r="O6" s="63">
        <f aca="true" t="shared" si="1" ref="O6:O14">N6/8760*1000</f>
        <v>187.0860110454124</v>
      </c>
    </row>
    <row r="7" spans="1:16" ht="12.75">
      <c r="A7" s="68" t="s">
        <v>76</v>
      </c>
      <c r="B7" s="69">
        <v>123.59075070800782</v>
      </c>
      <c r="C7" s="69">
        <v>118.07067558593751</v>
      </c>
      <c r="D7" s="69">
        <v>95.10180736328124</v>
      </c>
      <c r="E7" s="69">
        <v>34.192252377471924</v>
      </c>
      <c r="F7" s="69">
        <v>17.60368450683594</v>
      </c>
      <c r="G7" s="69">
        <v>33.405964375</v>
      </c>
      <c r="H7" s="69">
        <v>123.60820894531251</v>
      </c>
      <c r="I7" s="69">
        <v>157.1391053125</v>
      </c>
      <c r="J7" s="69">
        <v>150.71469515625</v>
      </c>
      <c r="K7" s="69">
        <v>123.38931</v>
      </c>
      <c r="L7" s="69">
        <v>144.354923203125</v>
      </c>
      <c r="M7" s="69">
        <v>153.55966332031247</v>
      </c>
      <c r="N7" s="65">
        <f t="shared" si="0"/>
        <v>1274.7310408540343</v>
      </c>
      <c r="O7" s="63">
        <f t="shared" si="1"/>
        <v>145.51724210662493</v>
      </c>
      <c r="P7" s="63">
        <f>SUM(B7:M7)</f>
        <v>1274.7310408540343</v>
      </c>
    </row>
    <row r="8" spans="1:15" ht="12.75">
      <c r="A8" s="68" t="s">
        <v>24</v>
      </c>
      <c r="B8" s="69">
        <v>34.1100394921875</v>
      </c>
      <c r="C8" s="69">
        <v>31.08497265625</v>
      </c>
      <c r="D8" s="69">
        <v>33.903846328125</v>
      </c>
      <c r="E8" s="69">
        <v>0</v>
      </c>
      <c r="F8" s="69">
        <v>0</v>
      </c>
      <c r="G8" s="69">
        <v>0</v>
      </c>
      <c r="H8" s="69">
        <v>27.787039414062498</v>
      </c>
      <c r="I8" s="69">
        <v>33.88491046875001</v>
      </c>
      <c r="J8" s="69">
        <v>32.0093866015625</v>
      </c>
      <c r="K8" s="69">
        <v>33.90341015625</v>
      </c>
      <c r="L8" s="69">
        <v>33.03255859375</v>
      </c>
      <c r="M8" s="69">
        <v>34.322854218749995</v>
      </c>
      <c r="N8" s="65">
        <f t="shared" si="0"/>
        <v>294.0390179296875</v>
      </c>
      <c r="O8" s="63">
        <f t="shared" si="1"/>
        <v>33.56609793717894</v>
      </c>
    </row>
    <row r="9" spans="1:15" ht="12.75">
      <c r="A9" s="68" t="s">
        <v>77</v>
      </c>
      <c r="B9" s="69">
        <v>0.7699368156433105</v>
      </c>
      <c r="C9" s="69">
        <v>0.39226968246459964</v>
      </c>
      <c r="D9" s="69">
        <v>0.2132145076751709</v>
      </c>
      <c r="E9" s="69">
        <v>0</v>
      </c>
      <c r="F9" s="69">
        <v>0</v>
      </c>
      <c r="G9" s="69">
        <v>0.0053612300491333005</v>
      </c>
      <c r="H9" s="69">
        <v>0.9694109951782227</v>
      </c>
      <c r="I9" s="69">
        <v>1.18935367767334</v>
      </c>
      <c r="J9" s="69">
        <v>0.0937085703277588</v>
      </c>
      <c r="K9" s="69">
        <v>0.019623679046630857</v>
      </c>
      <c r="L9" s="69">
        <v>0.19245995834350582</v>
      </c>
      <c r="M9" s="69">
        <v>0.6106001797485352</v>
      </c>
      <c r="N9" s="65">
        <f t="shared" si="0"/>
        <v>4.455939296150207</v>
      </c>
      <c r="O9" s="63">
        <f t="shared" si="1"/>
        <v>0.5086688694235396</v>
      </c>
    </row>
    <row r="10" spans="1:13" ht="12.75">
      <c r="A10" s="68" t="s">
        <v>221</v>
      </c>
      <c r="B10" s="69">
        <v>123.39608964843751</v>
      </c>
      <c r="C10" s="69">
        <v>118.19819356445312</v>
      </c>
      <c r="D10" s="69">
        <v>96.1823826171875</v>
      </c>
      <c r="E10" s="69">
        <v>31.783339691162105</v>
      </c>
      <c r="F10" s="69">
        <v>20.432231896972656</v>
      </c>
      <c r="G10" s="69">
        <v>20.740002368164063</v>
      </c>
      <c r="H10" s="69">
        <v>112.68596417968749</v>
      </c>
      <c r="I10" s="69">
        <v>153.91366218750002</v>
      </c>
      <c r="J10" s="69">
        <v>150.555886171875</v>
      </c>
      <c r="K10" s="69">
        <v>123.75954498046873</v>
      </c>
      <c r="L10" s="69">
        <v>147.6675266015625</v>
      </c>
      <c r="M10" s="69">
        <v>154.443425703125</v>
      </c>
    </row>
    <row r="11" spans="1:15" ht="12.75">
      <c r="A11" s="68" t="s">
        <v>78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0.00781099365234375</v>
      </c>
      <c r="H11" s="69">
        <v>0.5190007415771485</v>
      </c>
      <c r="I11" s="69">
        <v>0.4234825198364258</v>
      </c>
      <c r="J11" s="69">
        <v>0.003937974853515625</v>
      </c>
      <c r="K11" s="69">
        <v>0</v>
      </c>
      <c r="L11" s="69">
        <v>0</v>
      </c>
      <c r="M11" s="69">
        <v>0</v>
      </c>
      <c r="N11" s="65">
        <f t="shared" si="0"/>
        <v>0.9542322299194337</v>
      </c>
      <c r="O11" s="63">
        <f t="shared" si="1"/>
        <v>0.10893061985381663</v>
      </c>
    </row>
    <row r="12" spans="1:15" ht="12.75">
      <c r="A12" s="68" t="s">
        <v>79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0.08646657226562499</v>
      </c>
      <c r="H12" s="69">
        <v>2.8522657150268556</v>
      </c>
      <c r="I12" s="69">
        <v>1.7690103906249999</v>
      </c>
      <c r="J12" s="69">
        <v>0.03265968383789063</v>
      </c>
      <c r="K12" s="69">
        <v>0</v>
      </c>
      <c r="L12" s="69">
        <v>0</v>
      </c>
      <c r="M12" s="69">
        <v>0</v>
      </c>
      <c r="N12" s="65">
        <f t="shared" si="0"/>
        <v>4.740402361755371</v>
      </c>
      <c r="O12" s="63">
        <f t="shared" si="1"/>
        <v>0.5411418221181931</v>
      </c>
    </row>
    <row r="13" spans="1:15" ht="12.75">
      <c r="A13" s="6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>
        <f>SUM(N5:N12)</f>
        <v>3221.490925850868</v>
      </c>
      <c r="O13" s="63">
        <f t="shared" si="1"/>
        <v>367.75010569073834</v>
      </c>
    </row>
    <row r="14" spans="1:15" ht="12.75">
      <c r="A14" s="64" t="s">
        <v>101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1"/>
      <c r="O14" s="63">
        <f t="shared" si="1"/>
        <v>0</v>
      </c>
    </row>
    <row r="15" spans="1:14" ht="12.75">
      <c r="A15" s="68" t="s">
        <v>75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1:14" ht="12.75">
      <c r="A16" s="68" t="s">
        <v>26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4" ht="12.75">
      <c r="A17" s="68" t="s">
        <v>76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4" ht="12.75">
      <c r="A18" s="68" t="s">
        <v>24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</row>
    <row r="19" spans="1:14" ht="12.75">
      <c r="A19" s="68" t="s">
        <v>77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ht="12.75">
      <c r="A20" s="68" t="s">
        <v>221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4" ht="12.75">
      <c r="A21" s="68" t="s">
        <v>78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</row>
    <row r="22" spans="1:14" ht="12.75">
      <c r="A22" s="68" t="s">
        <v>79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1:14" ht="12.75">
      <c r="A23" s="6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>
        <f>SUM(N15:N22)</f>
        <v>0</v>
      </c>
    </row>
    <row r="24" spans="1:14" ht="12.75">
      <c r="A24" s="77" t="s">
        <v>80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</row>
    <row r="25" spans="1:14" ht="12.75">
      <c r="A25" s="68" t="s">
        <v>75</v>
      </c>
      <c r="B25" s="69">
        <v>36.584061813354495</v>
      </c>
      <c r="C25" s="69">
        <v>10.298773651123048</v>
      </c>
      <c r="D25" s="69">
        <v>3.3891441321372984</v>
      </c>
      <c r="E25" s="69">
        <v>0.21717312812805176</v>
      </c>
      <c r="F25" s="69">
        <v>0.8599519872665405</v>
      </c>
      <c r="G25" s="69">
        <v>5.385897842645645</v>
      </c>
      <c r="H25" s="69">
        <v>100.42074683070183</v>
      </c>
      <c r="I25" s="69">
        <v>55.34884072542191</v>
      </c>
      <c r="J25" s="69">
        <v>2.28360267162323</v>
      </c>
      <c r="K25" s="69">
        <v>0.30229668617248534</v>
      </c>
      <c r="L25" s="69">
        <v>1.5757321190834046</v>
      </c>
      <c r="M25" s="69">
        <v>3.6547739553451537</v>
      </c>
      <c r="N25" s="70">
        <f>SUM(B25:M25)</f>
        <v>220.32099554300308</v>
      </c>
    </row>
    <row r="26" spans="1:14" ht="12.75">
      <c r="A26" s="68" t="s">
        <v>26</v>
      </c>
      <c r="B26" s="69">
        <v>1869.722010498047</v>
      </c>
      <c r="C26" s="69">
        <v>1708.9791259765625</v>
      </c>
      <c r="D26" s="69">
        <v>1858.7445361328125</v>
      </c>
      <c r="E26" s="69">
        <v>1659.1130407714843</v>
      </c>
      <c r="F26" s="69">
        <v>1385.0473858642579</v>
      </c>
      <c r="G26" s="69">
        <v>1298.7717608642579</v>
      </c>
      <c r="H26" s="69">
        <v>1807.056171875</v>
      </c>
      <c r="I26" s="69">
        <v>1891.223341064453</v>
      </c>
      <c r="J26" s="69">
        <v>1831.0485095214844</v>
      </c>
      <c r="K26" s="69">
        <v>1878.6168212890625</v>
      </c>
      <c r="L26" s="69">
        <v>1831.049072265625</v>
      </c>
      <c r="M26" s="69">
        <v>1865.3115026855469</v>
      </c>
      <c r="N26" s="70">
        <f aca="true" t="shared" si="2" ref="N26:N32">SUM(B26:M26)</f>
        <v>20884.683278808596</v>
      </c>
    </row>
    <row r="27" spans="1:15" ht="12.75">
      <c r="A27" s="68" t="s">
        <v>76</v>
      </c>
      <c r="B27" s="69">
        <v>5744.478141142888</v>
      </c>
      <c r="C27" s="69">
        <v>5441.310475957307</v>
      </c>
      <c r="D27" s="69">
        <v>4279.273638914602</v>
      </c>
      <c r="E27" s="69">
        <v>1419.2240196398668</v>
      </c>
      <c r="F27" s="69">
        <v>731.7264032412668</v>
      </c>
      <c r="G27" s="69">
        <v>1415.5727868979016</v>
      </c>
      <c r="H27" s="69">
        <v>5194.718798106311</v>
      </c>
      <c r="I27" s="69">
        <v>6507.203925241208</v>
      </c>
      <c r="J27" s="69">
        <v>6298.475605282798</v>
      </c>
      <c r="K27" s="69">
        <v>5313.908072294267</v>
      </c>
      <c r="L27" s="69">
        <v>6454.776095848712</v>
      </c>
      <c r="M27" s="69">
        <v>7141.764901034288</v>
      </c>
      <c r="N27" s="70">
        <f t="shared" si="2"/>
        <v>55942.43286360141</v>
      </c>
      <c r="O27" s="63">
        <f>N27/8760*1000</f>
        <v>6386.122473013859</v>
      </c>
    </row>
    <row r="28" spans="1:15" ht="12.75">
      <c r="A28" s="68" t="s">
        <v>24</v>
      </c>
      <c r="B28" s="69">
        <v>1209.2800134277343</v>
      </c>
      <c r="C28" s="69">
        <v>1101.6800537109375</v>
      </c>
      <c r="D28" s="69">
        <v>1201.6761529541016</v>
      </c>
      <c r="E28" s="69">
        <v>0</v>
      </c>
      <c r="F28" s="69">
        <v>0</v>
      </c>
      <c r="G28" s="69">
        <v>0</v>
      </c>
      <c r="H28" s="69">
        <v>988.3788635253907</v>
      </c>
      <c r="I28" s="69">
        <v>1201.2049438476563</v>
      </c>
      <c r="J28" s="69">
        <v>1134.6470947265625</v>
      </c>
      <c r="K28" s="69">
        <v>1201.7760009765625</v>
      </c>
      <c r="L28" s="69">
        <v>1170.9022216796875</v>
      </c>
      <c r="M28" s="69">
        <v>1216.6063842773438</v>
      </c>
      <c r="N28" s="70">
        <f t="shared" si="2"/>
        <v>10426.151729125977</v>
      </c>
      <c r="O28" s="63">
        <f>N28/8760*1000</f>
        <v>1190.1999690783077</v>
      </c>
    </row>
    <row r="29" spans="1:15" ht="12.75">
      <c r="A29" s="68" t="s">
        <v>77</v>
      </c>
      <c r="B29" s="69">
        <v>47.23115116596222</v>
      </c>
      <c r="C29" s="69">
        <v>24.11737196445465</v>
      </c>
      <c r="D29" s="69">
        <v>12.726531038284302</v>
      </c>
      <c r="E29" s="69">
        <v>0</v>
      </c>
      <c r="F29" s="69">
        <v>0</v>
      </c>
      <c r="G29" s="69">
        <v>0.37012324333190916</v>
      </c>
      <c r="H29" s="69">
        <v>54.676472206115726</v>
      </c>
      <c r="I29" s="69">
        <v>68.02623819351196</v>
      </c>
      <c r="J29" s="69">
        <v>5.188781180381775</v>
      </c>
      <c r="K29" s="69">
        <v>1.0905040216445923</v>
      </c>
      <c r="L29" s="69">
        <v>11.609002161026002</v>
      </c>
      <c r="M29" s="69">
        <v>38.979376010894775</v>
      </c>
      <c r="N29" s="70">
        <f t="shared" si="2"/>
        <v>264.01555118560793</v>
      </c>
      <c r="O29" s="63">
        <f>N29/8760*1000</f>
        <v>30.138761550868487</v>
      </c>
    </row>
    <row r="30" spans="1:14" ht="12.75">
      <c r="A30" s="68" t="s">
        <v>221</v>
      </c>
      <c r="B30" s="69">
        <v>5941.697930076155</v>
      </c>
      <c r="C30" s="69">
        <v>5651.709869194174</v>
      </c>
      <c r="D30" s="69">
        <v>4502.879858130679</v>
      </c>
      <c r="E30" s="69">
        <v>1388.1192749060633</v>
      </c>
      <c r="F30" s="69">
        <v>915.2536251273168</v>
      </c>
      <c r="G30" s="69">
        <v>965.177073027655</v>
      </c>
      <c r="H30" s="69">
        <v>5150.253519143316</v>
      </c>
      <c r="I30" s="69">
        <v>6907.957619883038</v>
      </c>
      <c r="J30" s="69">
        <v>6747.722037948557</v>
      </c>
      <c r="K30" s="69">
        <v>5628.493654044699</v>
      </c>
      <c r="L30" s="69">
        <v>6967.130800711802</v>
      </c>
      <c r="M30" s="69">
        <v>7587.291042522845</v>
      </c>
      <c r="N30" s="70"/>
    </row>
    <row r="31" spans="1:14" ht="12.75">
      <c r="A31" s="68" t="s">
        <v>78</v>
      </c>
      <c r="B31" s="69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0.634443130493164</v>
      </c>
      <c r="H31" s="69">
        <v>42.83811614990234</v>
      </c>
      <c r="I31" s="69">
        <v>36.073857612609864</v>
      </c>
      <c r="J31" s="69">
        <v>0.31326276779174805</v>
      </c>
      <c r="K31" s="69">
        <v>0</v>
      </c>
      <c r="L31" s="69">
        <v>0</v>
      </c>
      <c r="M31" s="69">
        <v>0</v>
      </c>
      <c r="N31" s="70">
        <f t="shared" si="2"/>
        <v>79.85967966079711</v>
      </c>
    </row>
    <row r="32" spans="1:14" ht="12.75">
      <c r="A32" s="68" t="s">
        <v>79</v>
      </c>
      <c r="B32" s="69">
        <v>0</v>
      </c>
      <c r="C32" s="69">
        <v>0</v>
      </c>
      <c r="D32" s="69">
        <v>0</v>
      </c>
      <c r="E32" s="69">
        <v>0</v>
      </c>
      <c r="F32" s="69">
        <v>0</v>
      </c>
      <c r="G32" s="69">
        <v>6.543267670288086</v>
      </c>
      <c r="H32" s="69">
        <v>219.22945875717164</v>
      </c>
      <c r="I32" s="69">
        <v>139.2664982223511</v>
      </c>
      <c r="J32" s="69">
        <v>2.475374157409668</v>
      </c>
      <c r="K32" s="69">
        <v>0</v>
      </c>
      <c r="L32" s="69">
        <v>0</v>
      </c>
      <c r="M32" s="69">
        <v>0</v>
      </c>
      <c r="N32" s="70">
        <f t="shared" si="2"/>
        <v>367.51459880722047</v>
      </c>
    </row>
    <row r="33" spans="1:14" ht="12.75">
      <c r="A33" s="68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>
        <f>SUM(N25:N32)</f>
        <v>88184.97869673262</v>
      </c>
    </row>
    <row r="34" spans="1:14" ht="12.75">
      <c r="A34" s="77" t="s">
        <v>81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1:14" ht="12.75">
      <c r="A35" s="68" t="s">
        <v>82</v>
      </c>
      <c r="B35" s="70">
        <v>95.11916205078124</v>
      </c>
      <c r="C35" s="63">
        <v>59.53490155761718</v>
      </c>
      <c r="D35" s="63">
        <v>94.896586640625</v>
      </c>
      <c r="E35" s="63">
        <v>51.24407115356445</v>
      </c>
      <c r="F35" s="69">
        <v>31.379128515625002</v>
      </c>
      <c r="G35" s="69">
        <v>32.71106179687501</v>
      </c>
      <c r="H35" s="69">
        <v>38.721783125</v>
      </c>
      <c r="I35" s="69">
        <v>65.24916144531251</v>
      </c>
      <c r="J35" s="69">
        <v>45.78503568359375</v>
      </c>
      <c r="K35" s="69">
        <v>99.359182421875</v>
      </c>
      <c r="L35" s="69">
        <v>76.514492265625</v>
      </c>
      <c r="M35" s="69">
        <v>38.57428551757813</v>
      </c>
      <c r="N35" s="70">
        <f>SUM(B35:M35)</f>
        <v>729.0888521740721</v>
      </c>
    </row>
    <row r="36" spans="1:14" ht="12.75">
      <c r="A36" s="68" t="s">
        <v>83</v>
      </c>
      <c r="B36" s="70">
        <v>-29.471427705078124</v>
      </c>
      <c r="C36" s="69">
        <v>-44.648862501831054</v>
      </c>
      <c r="D36" s="63">
        <v>-46.09551319335937</v>
      </c>
      <c r="E36" s="63">
        <v>-78.9969728515625</v>
      </c>
      <c r="F36" s="69">
        <v>-139.57085500000002</v>
      </c>
      <c r="G36" s="69">
        <v>-151.1604259375</v>
      </c>
      <c r="H36" s="69">
        <v>-115.28898023437499</v>
      </c>
      <c r="I36" s="69">
        <v>-58.21398357421875</v>
      </c>
      <c r="J36" s="69">
        <v>-59.568174414062504</v>
      </c>
      <c r="K36" s="69">
        <v>-23.727581435546874</v>
      </c>
      <c r="L36" s="69">
        <v>-37.61569396484376</v>
      </c>
      <c r="M36" s="69">
        <v>-70.51490916015625</v>
      </c>
      <c r="N36" s="70">
        <f>SUM(B36:M36)</f>
        <v>-854.8733799725342</v>
      </c>
    </row>
    <row r="37" spans="2:15" ht="12.7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1">
        <f>SUM(B35:B36)</f>
        <v>65.64773434570311</v>
      </c>
      <c r="O37" s="63">
        <f>N37/8.76</f>
        <v>7.494033601107661</v>
      </c>
    </row>
    <row r="38" spans="1:14" ht="12.75">
      <c r="A38" s="77" t="s">
        <v>84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</row>
    <row r="39" spans="1:14" ht="12.75">
      <c r="A39" s="68" t="s">
        <v>82</v>
      </c>
      <c r="B39" s="65">
        <v>5278.784849243164</v>
      </c>
      <c r="C39" s="63">
        <v>3430.9927084350584</v>
      </c>
      <c r="D39" s="63">
        <v>4978.5559436035155</v>
      </c>
      <c r="E39" s="63">
        <v>2307.005918636322</v>
      </c>
      <c r="F39" s="69">
        <v>1262.8006756591797</v>
      </c>
      <c r="G39" s="69">
        <v>1320.3238671875</v>
      </c>
      <c r="H39" s="69">
        <v>2057.6828387451174</v>
      </c>
      <c r="I39" s="69">
        <v>4104.876030273437</v>
      </c>
      <c r="J39" s="69">
        <v>2809.3792041015627</v>
      </c>
      <c r="K39" s="69">
        <v>5137.22896484375</v>
      </c>
      <c r="L39" s="69">
        <v>4563.357316894531</v>
      </c>
      <c r="M39" s="69">
        <v>2366.32486907959</v>
      </c>
      <c r="N39" s="70">
        <f>SUM(B39:M39)</f>
        <v>39617.313186702726</v>
      </c>
    </row>
    <row r="40" spans="1:14" ht="12.75">
      <c r="A40" s="68" t="s">
        <v>83</v>
      </c>
      <c r="B40" s="65">
        <v>-1683.760221862793</v>
      </c>
      <c r="C40" s="63">
        <v>-2443.9178764152525</v>
      </c>
      <c r="D40" s="63">
        <v>-2276.5676919555663</v>
      </c>
      <c r="E40" s="63">
        <v>-2938.33560546875</v>
      </c>
      <c r="F40" s="69">
        <v>-3638.1407666015625</v>
      </c>
      <c r="G40" s="69">
        <v>-3864.5785205078123</v>
      </c>
      <c r="H40" s="69">
        <v>-5564.758474121094</v>
      </c>
      <c r="I40" s="69">
        <v>-2967.2362255859375</v>
      </c>
      <c r="J40" s="69">
        <v>-2891.8932788085935</v>
      </c>
      <c r="K40" s="69">
        <v>-1123.1205096435547</v>
      </c>
      <c r="L40" s="69">
        <v>-1953.493197631836</v>
      </c>
      <c r="M40" s="69">
        <v>-4400.483162231445</v>
      </c>
      <c r="N40" s="70">
        <f>SUM(B40:M40)</f>
        <v>-35746.2855308342</v>
      </c>
    </row>
    <row r="41" ht="12.75">
      <c r="N41" s="71">
        <f>SUM(N39:N40)</f>
        <v>3871.027655868529</v>
      </c>
    </row>
    <row r="43" spans="13:14" ht="12.75">
      <c r="M43" s="72" t="s">
        <v>102</v>
      </c>
      <c r="N43" s="71">
        <f>N33+N41</f>
        <v>92056.00635260115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Footer>&amp;L&amp;"Geneva,Bold Italic"&amp;9&amp;F &amp;A&amp;R&amp;"Geneva,Bold Italic"&amp;9&amp;D WGJ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Resources</dc:creator>
  <cp:keywords/>
  <dc:description/>
  <cp:lastModifiedBy>Patrick Ehrbar</cp:lastModifiedBy>
  <cp:lastPrinted>2010-03-16T18:07:15Z</cp:lastPrinted>
  <dcterms:created xsi:type="dcterms:W3CDTF">1998-10-07T00:01:47Z</dcterms:created>
  <dcterms:modified xsi:type="dcterms:W3CDTF">2010-03-16T18:22:44Z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100468</vt:lpwstr>
  </property>
  <property fmtid="{D5CDD505-2E9C-101B-9397-08002B2CF9AE}" pid="6" name="IsConfidenti">
    <vt:lpwstr>0</vt:lpwstr>
  </property>
  <property fmtid="{D5CDD505-2E9C-101B-9397-08002B2CF9AE}" pid="7" name="Dat">
    <vt:lpwstr>2010-03-23T00:00:00Z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2010-03-23T00:00:00Z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