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50" windowHeight="9975" firstSheet="15" activeTab="20"/>
  </bookViews>
  <sheets>
    <sheet name="Summary Electric" sheetId="1" r:id="rId1"/>
    <sheet name="Summary Gas" sheetId="2" r:id="rId2"/>
    <sheet name="Electric" sheetId="3" r:id="rId3"/>
    <sheet name="Gas" sheetId="4" r:id="rId4"/>
    <sheet name="Conversion Factor" sheetId="5" r:id="rId5"/>
    <sheet name="COR" sheetId="6" r:id="rId6"/>
    <sheet name="Hopkins Ridge" sheetId="7" r:id="rId7"/>
    <sheet name="Wild Horse" sheetId="8" r:id="rId8"/>
    <sheet name="Storm Damages" sheetId="9" r:id="rId9"/>
    <sheet name="FIT" sheetId="10" r:id="rId10"/>
    <sheet name="Misc Int." sheetId="11" r:id="rId11"/>
    <sheet name="King Deprec" sheetId="12" r:id="rId12"/>
    <sheet name="Exec Comp" sheetId="13" r:id="rId13"/>
    <sheet name="SERP" sheetId="14" r:id="rId14"/>
    <sheet name="Incentive pay" sheetId="15" r:id="rId15"/>
    <sheet name="Shareholder" sheetId="16" r:id="rId16"/>
    <sheet name="Aircraft" sheetId="17" r:id="rId17"/>
    <sheet name="Athletic Events" sheetId="18" r:id="rId18"/>
    <sheet name="D&amp;O" sheetId="19" r:id="rId19"/>
    <sheet name="Airport Parking" sheetId="20" r:id="rId20"/>
    <sheet name="Int. Sync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123Graph_ECURRENT" hidden="1">'[8]ConsolidatingPL'!#REF!</definedName>
    <definedName name="_000">#REF!</definedName>
    <definedName name="_1_94_12_94">'[30]DT_A_DOL93'!#REF!</definedName>
    <definedName name="_1_95_12_95">'[30]DT_A_DOL93'!#REF!</definedName>
    <definedName name="_1_96_12_96">'[30]DT_A_DOL93'!#REF!</definedName>
    <definedName name="_1_97_12_97">'[30]DT_A_DOL93'!#REF!</definedName>
    <definedName name="_1_98_12_98">'[30]DT_A_DOL93'!#REF!</definedName>
    <definedName name="_10.01">'Gas'!#REF!</definedName>
    <definedName name="_10.02">'Gas'!#REF!</definedName>
    <definedName name="_10.03">'Gas'!#REF!</definedName>
    <definedName name="_11.01">'Electric'!#REF!</definedName>
    <definedName name="_11.02">'Electric'!#REF!</definedName>
    <definedName name="_11.03">'Electric'!#REF!</definedName>
    <definedName name="_11.04">'Electric'!#REF!</definedName>
    <definedName name="_11.05">'Electric'!#REF!</definedName>
    <definedName name="_11.06">'Electric'!#REF!</definedName>
    <definedName name="_11.07">'Electric'!#REF!</definedName>
    <definedName name="_11.08">'Electric'!#REF!</definedName>
    <definedName name="_11.09">'Electric'!#REF!</definedName>
    <definedName name="_11.10">'Electric'!#REF!</definedName>
    <definedName name="_11.11">'Electric'!#REF!</definedName>
    <definedName name="_11.12">'Electric'!#REF!</definedName>
    <definedName name="_11.13">'Electric'!#REF!</definedName>
    <definedName name="_11.14">'Electric'!#REF!</definedName>
    <definedName name="_11.15">'Electric'!#REF!</definedName>
    <definedName name="_11.16">'Electric'!#REF!</definedName>
    <definedName name="_11.17">'Electric'!#REF!</definedName>
    <definedName name="_11.18">'Electric'!#REF!</definedName>
    <definedName name="_11.19">'Electric'!#REF!</definedName>
    <definedName name="_11.20">'Electric'!#REF!</definedName>
    <definedName name="_11.21">'Electric'!#REF!</definedName>
    <definedName name="_11.22">'Electric'!#REF!</definedName>
    <definedName name="_11.23">'Electric'!#REF!</definedName>
    <definedName name="_11.24">'Electric'!#REF!</definedName>
    <definedName name="_11.25">'Electric'!#REF!</definedName>
    <definedName name="_11.26">'Electric'!#REF!</definedName>
    <definedName name="_11.27">'Electric'!#REF!</definedName>
    <definedName name="_11.28">'Electric'!#REF!</definedName>
    <definedName name="_11.29">'Electric'!#REF!</definedName>
    <definedName name="_11.30">'Electric'!#REF!</definedName>
    <definedName name="_11.31">'Electric'!#REF!</definedName>
    <definedName name="_11.32">'Electric'!#REF!</definedName>
    <definedName name="_11.33">'Electric'!#REF!</definedName>
    <definedName name="_11.34">'Electric'!#REF!</definedName>
    <definedName name="_11.35">'Electric'!#REF!</definedName>
    <definedName name="_11A">'Electric'!#REF!</definedName>
    <definedName name="_11B">'Electric'!#REF!</definedName>
    <definedName name="_11C">'Electric'!#REF!</definedName>
    <definedName name="_11D">'Electric'!#REF!</definedName>
    <definedName name="_12.01">'Electric'!#REF!</definedName>
    <definedName name="_12.02">'Electric'!#REF!</definedName>
    <definedName name="_12.03">'Electric'!#REF!</definedName>
    <definedName name="_9.01">'Gas'!#REF!</definedName>
    <definedName name="_9.02">'Gas'!#REF!</definedName>
    <definedName name="_9.03">'Gas'!#REF!</definedName>
    <definedName name="_9.04">'Gas'!#REF!</definedName>
    <definedName name="_9.05">'Gas'!#REF!</definedName>
    <definedName name="_9.06">'Gas'!#REF!</definedName>
    <definedName name="_9.07">'Gas'!#REF!</definedName>
    <definedName name="_9.08">'Gas'!#REF!</definedName>
    <definedName name="_9.09">'Gas'!#REF!</definedName>
    <definedName name="_9.10">'Gas'!#REF!</definedName>
    <definedName name="_9.11">'Gas'!#REF!</definedName>
    <definedName name="_9.12">'Gas'!#REF!</definedName>
    <definedName name="_9.13">'Gas'!#REF!</definedName>
    <definedName name="_9.14">'Gas'!#REF!</definedName>
    <definedName name="_9.15">'Gas'!#REF!</definedName>
    <definedName name="_9.16">'Gas'!#REF!</definedName>
    <definedName name="_9.17">'Gas'!#REF!</definedName>
    <definedName name="_9.18">'Gas'!#REF!</definedName>
    <definedName name="_9.19">'Gas'!#REF!</definedName>
    <definedName name="_9.20">'Gas'!#REF!</definedName>
    <definedName name="_9.21">'Gas'!#REF!</definedName>
    <definedName name="_9A">'Gas'!#REF!</definedName>
    <definedName name="_9B">'Gas'!#REF!</definedName>
    <definedName name="_9C">'Gas'!#REF!</definedName>
    <definedName name="_9D">'Gas'!#REF!</definedName>
    <definedName name="_End">'[27]1.06'!#REF!</definedName>
    <definedName name="_FEDERAL_INCOME_TAX" localSheetId="3">'Gas'!#REF!</definedName>
    <definedName name="_FEDERAL_INCOME_TAX">'Electric'!#REF!</definedName>
    <definedName name="_Fill" localSheetId="12">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ACCTS">#REF!</definedName>
    <definedName name="Acq1Plant">'[18]Acquisition Inputs'!$C$8</definedName>
    <definedName name="Acq2Plant">'[18]Acquisition Inputs'!$C$70</definedName>
    <definedName name="afudcrate">#REF!</definedName>
    <definedName name="afudctaxbasis">#REF!</definedName>
    <definedName name="ALLOTHER" localSheetId="0">#REF!</definedName>
    <definedName name="ALLOTHER" localSheetId="1">#REF!</definedName>
    <definedName name="ALLOTHER">#REF!</definedName>
    <definedName name="apeek">#REF!</definedName>
    <definedName name="Apr03AMA">'[28]BS C&amp;L'!#REF!</definedName>
    <definedName name="Apr04">'[25]BS'!$U$7:$U$3582</definedName>
    <definedName name="Apr04AMA">'[25]BS'!$AG$7:$AG$3582</definedName>
    <definedName name="Apr05">'[27]1.06'!#REF!</definedName>
    <definedName name="Apr05AMA">'[27]1.06'!#REF!</definedName>
    <definedName name="aquila_lookup">'[16]Cabot Gas Replacement'!$B$8:$F$16</definedName>
    <definedName name="Asset_Class_Switch">'[13]Assumptions'!$D$5</definedName>
    <definedName name="Assume_Percent_Change">#REF!</definedName>
    <definedName name="Aug03AMA">'[28]BS C&amp;L'!#REF!</definedName>
    <definedName name="Aug04">'[25]BS'!$Y$7:$Y$3582</definedName>
    <definedName name="Aug04AMA">'[25]BS'!$AK$7:$AK$3582</definedName>
    <definedName name="Aug05">'[27]1.06'!#REF!</definedName>
    <definedName name="Aug05AMA">'[27]1.06'!#REF!</definedName>
    <definedName name="augcf">#REF!</definedName>
    <definedName name="augcost">#REF!</definedName>
    <definedName name="Aurora_Prices">"Monthly Price Summary'!$C$4:$H$63"</definedName>
    <definedName name="b" localSheetId="19" hidden="1">{#N/A,#N/A,FALSE,"Coversheet";#N/A,#N/A,FALSE,"QA"}</definedName>
    <definedName name="b" localSheetId="12" hidden="1">{#N/A,#N/A,FALSE,"Coversheet";#N/A,#N/A,FALSE,"QA"}</definedName>
    <definedName name="b" localSheetId="3" hidden="1">{#N/A,#N/A,FALSE,"Coversheet";#N/A,#N/A,FALSE,"QA"}</definedName>
    <definedName name="b" localSheetId="6" hidden="1">{#N/A,#N/A,FALSE,"Coversheet";#N/A,#N/A,FALSE,"QA"}</definedName>
    <definedName name="b" localSheetId="1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ADDEBT">#REF!</definedName>
    <definedName name="BASEPER">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utton_1">"TradeSummary_Ken_Finicle_List"</definedName>
    <definedName name="Capacity">#REF!</definedName>
    <definedName name="capfact">#REF!</definedName>
    <definedName name="CaseDescription">'[18]Dispatch Cases'!$C$11</definedName>
    <definedName name="CBWorkbookPriority" hidden="1">-2060790043</definedName>
    <definedName name="CCGT_HeatRate">'[18]Assumptions'!$H$23</definedName>
    <definedName name="CCGTPrice">'[18]Assumptions'!$H$22</definedName>
    <definedName name="cerarvm">#REF!</definedName>
    <definedName name="CL_RT">#REF!</definedName>
    <definedName name="CL_RT2">'[34]Transp Data'!$A$6:$C$81</definedName>
    <definedName name="clawback">#REF!</definedName>
    <definedName name="close">#REF!</definedName>
    <definedName name="cod">#REF!</definedName>
    <definedName name="COLHOUSE">#REF!</definedName>
    <definedName name="COLXFER">#REF!</definedName>
    <definedName name="CombWC_LineItem">'[27]1.06'!#REF!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'[35]Sch_120'!#REF!</definedName>
    <definedName name="ContractDate">'[21]Dispatch Cases'!#REF!</definedName>
    <definedName name="Conv_Factor">'[35]Sch_120'!#REF!</definedName>
    <definedName name="ConversionFactor">'[18]Assumptions'!$I$65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 localSheetId="12">'[18]Assumptions'!$I$58</definedName>
    <definedName name="debtperc">#REF!</definedName>
    <definedName name="Dec03">'[26]BS'!$T$7:$T$3582</definedName>
    <definedName name="Dec03AMA">'[26]BS'!$AJ$7:$AJ$3582</definedName>
    <definedName name="Dec04">'[25]BS'!$AC$7:$AC$3580</definedName>
    <definedName name="Dec04AMA">'[25]BS'!$AO$7:$AO$3582</definedName>
    <definedName name="Degree_Days">#REF!</definedName>
    <definedName name="DELETE01" localSheetId="19" hidden="1">{#N/A,#N/A,FALSE,"Coversheet";#N/A,#N/A,FALSE,"QA"}</definedName>
    <definedName name="DELETE01" localSheetId="12" hidden="1">{#N/A,#N/A,FALSE,"Coversheet";#N/A,#N/A,FALSE,"QA"}</definedName>
    <definedName name="DELETE01" localSheetId="3" hidden="1">{#N/A,#N/A,FALSE,"Coversheet";#N/A,#N/A,FALSE,"QA"}</definedName>
    <definedName name="DELETE01" localSheetId="6" hidden="1">{#N/A,#N/A,FALSE,"Coversheet";#N/A,#N/A,FALSE,"QA"}</definedName>
    <definedName name="DELETE01" localSheetId="1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19" hidden="1">{#N/A,#N/A,FALSE,"Schedule F";#N/A,#N/A,FALSE,"Schedule G"}</definedName>
    <definedName name="DELETE02" localSheetId="12" hidden="1">{#N/A,#N/A,FALSE,"Schedule F";#N/A,#N/A,FALSE,"Schedule G"}</definedName>
    <definedName name="DELETE02" localSheetId="3" hidden="1">{#N/A,#N/A,FALSE,"Schedule F";#N/A,#N/A,FALSE,"Schedule G"}</definedName>
    <definedName name="DELETE02" localSheetId="6" hidden="1">{#N/A,#N/A,FALSE,"Schedule F";#N/A,#N/A,FALSE,"Schedule G"}</definedName>
    <definedName name="DELETE02" localSheetId="1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19" hidden="1">{#N/A,#N/A,FALSE,"Coversheet";#N/A,#N/A,FALSE,"QA"}</definedName>
    <definedName name="Delete06" localSheetId="3" hidden="1">{#N/A,#N/A,FALSE,"Coversheet";#N/A,#N/A,FALSE,"QA"}</definedName>
    <definedName name="Delete06" localSheetId="6" hidden="1">{#N/A,#N/A,FALSE,"Coversheet";#N/A,#N/A,FALSE,"QA"}</definedName>
    <definedName name="Delete06" localSheetId="1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19" hidden="1">{#N/A,#N/A,FALSE,"Coversheet";#N/A,#N/A,FALSE,"QA"}</definedName>
    <definedName name="Delete09" localSheetId="3" hidden="1">{#N/A,#N/A,FALSE,"Coversheet";#N/A,#N/A,FALSE,"QA"}</definedName>
    <definedName name="Delete09" localSheetId="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9" hidden="1">{#N/A,#N/A,FALSE,"Coversheet";#N/A,#N/A,FALSE,"QA"}</definedName>
    <definedName name="Delete1" localSheetId="12" hidden="1">{#N/A,#N/A,FALSE,"Coversheet";#N/A,#N/A,FALSE,"QA"}</definedName>
    <definedName name="Delete1" localSheetId="3" hidden="1">{#N/A,#N/A,FALSE,"Coversheet";#N/A,#N/A,FALSE,"QA"}</definedName>
    <definedName name="Delete1" localSheetId="6" hidden="1">{#N/A,#N/A,FALSE,"Coversheet";#N/A,#N/A,FALSE,"QA"}</definedName>
    <definedName name="Delete1" localSheetId="1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19" hidden="1">{#N/A,#N/A,FALSE,"Schedule F";#N/A,#N/A,FALSE,"Schedule G"}</definedName>
    <definedName name="Delete10" localSheetId="3" hidden="1">{#N/A,#N/A,FALSE,"Schedule F";#N/A,#N/A,FALSE,"Schedule G"}</definedName>
    <definedName name="Delete10" localSheetId="6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9" hidden="1">{#N/A,#N/A,FALSE,"Coversheet";#N/A,#N/A,FALSE,"QA"}</definedName>
    <definedName name="Delete21" localSheetId="3" hidden="1">{#N/A,#N/A,FALSE,"Coversheet";#N/A,#N/A,FALSE,"QA"}</definedName>
    <definedName name="Delete21" localSheetId="6" hidden="1">{#N/A,#N/A,FALSE,"Coversheet";#N/A,#N/A,FALSE,"QA"}</definedName>
    <definedName name="Delete21" localSheetId="1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_DB" localSheetId="0">#REF!</definedName>
    <definedName name="DEPR_DB" localSheetId="1">#REF!</definedName>
    <definedName name="DEPR_DB">#REF!</definedName>
    <definedName name="DEPRECIATION">#REF!</definedName>
    <definedName name="devfee">#REF!</definedName>
    <definedName name="DF_HeatRate">'[18]Assumptions'!$L$23</definedName>
    <definedName name="DFIT" localSheetId="19" hidden="1">{#N/A,#N/A,FALSE,"Coversheet";#N/A,#N/A,FALSE,"QA"}</definedName>
    <definedName name="DFIT" localSheetId="3" hidden="1">{#N/A,#N/A,FALSE,"Coversheet";#N/A,#N/A,FALSE,"QA"}</definedName>
    <definedName name="DFIT" localSheetId="6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sc">'[21]Debt Amortization'!#REF!</definedName>
    <definedName name="Discount_for_Revenue_Reqmt">'[15]Assumptions of Purchase'!$B$45</definedName>
    <definedName name="DOCKET" localSheetId="4">'Conversion Factor'!#REF!</definedName>
    <definedName name="DOCKET" localSheetId="12">#REF!</definedName>
    <definedName name="DOCKET">'Gas'!#REF!</definedName>
    <definedName name="DurPTC">#REF!</definedName>
    <definedName name="Electp1">#REF!</definedName>
    <definedName name="Electp2">#REF!</definedName>
    <definedName name="Electric_Prices">'[23]Monthly Price Summary'!$B$4:$E$27</definedName>
    <definedName name="ElecWC_LineItems">'[27]1.06'!#REF!</definedName>
    <definedName name="ElRBLine">'[25]BS'!$AQ$7:$AQ$3303</definedName>
    <definedName name="EMPLBENE">#REF!</definedName>
    <definedName name="EndDate" localSheetId="12">'[18]Assumptions'!$C$11</definedName>
    <definedName name="EndDate">'[12]Assumptions'!$C$11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'[28]BS C&amp;L'!#REF!</definedName>
    <definedName name="Feb04">'[25]BS'!$S$7:$S$3582</definedName>
    <definedName name="Feb04AMA">'[25]BS'!$AE$7:$AE$3582</definedName>
    <definedName name="Feb05">'[27]1.06'!#REF!</definedName>
    <definedName name="Feb05AMA">'[27]1.06'!#REF!</definedName>
    <definedName name="Fed_Cap_Tax" localSheetId="12">'[19]Inputs'!$E$112</definedName>
    <definedName name="Fed_Cap_Tax">'[10]Inputs'!$E$112</definedName>
    <definedName name="FedTaxRate" localSheetId="12">'[18]Assumptions'!$C$33</definedName>
    <definedName name="FedTaxRate">'[11]Assumptions'!$C$33</definedName>
    <definedName name="FERCRATE">#REF!</definedName>
    <definedName name="FF">#REF!</definedName>
    <definedName name="FIELDCHRG">#REF!</definedName>
    <definedName name="Final">#REF!</definedName>
    <definedName name="firstptcyr">#REF!</definedName>
    <definedName name="firstyearmonths">#REF!</definedName>
    <definedName name="FIT" localSheetId="4">'Conversion Factor'!$FO$19</definedName>
    <definedName name="FIT" localSheetId="12">#REF!</definedName>
    <definedName name="FIT" localSheetId="7">#REF!</definedName>
    <definedName name="FIT">'Electric'!#REF!</definedName>
    <definedName name="fixedtrans">#REF!</definedName>
    <definedName name="fpldebt">#REF!</definedName>
    <definedName name="FPLequit">#REF!</definedName>
    <definedName name="Fuel">#REF!</definedName>
    <definedName name="GasRBLine">'[25]BS'!$AS$7:$AS$3631</definedName>
    <definedName name="GasWC_LineItem">'[25]BS'!$AR$7:$AR$3631</definedName>
    <definedName name="GDPIP">#REF!</definedName>
    <definedName name="GeoDate">'[21]Dispatch Cases'!#REF!</definedName>
    <definedName name="gpdip">#REF!</definedName>
    <definedName name="graph">#REF!</definedName>
    <definedName name="HydroCap">#REF!</definedName>
    <definedName name="HydroGen">'[21]Dispatch'!#REF!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'[28]BS C&amp;L'!#REF!</definedName>
    <definedName name="Jan04">'[25]BS'!$R$7:$R$3582</definedName>
    <definedName name="Jan04AMA">'[25]BS'!$AD$7:$AD$3582</definedName>
    <definedName name="Jan05">'[27]1.06'!#REF!</definedName>
    <definedName name="Jan05AMA">'[27]1.06'!#REF!</definedName>
    <definedName name="Jul03AMA">'[28]BS C&amp;L'!#REF!</definedName>
    <definedName name="Jul04">'[25]BS'!$X$7:$X$3582</definedName>
    <definedName name="Jul04AMA">'[25]BS'!$AJ$7:$AJ$3582</definedName>
    <definedName name="Jul05">'[27]1.06'!#REF!</definedName>
    <definedName name="Jul05AMA">'[27]1.06'!#REF!</definedName>
    <definedName name="julcf">#REF!</definedName>
    <definedName name="julcost">#REF!</definedName>
    <definedName name="Jun03AMA">'[28]BS C&amp;L'!#REF!</definedName>
    <definedName name="Jun04">'[25]BS'!$W$7:$W$3582</definedName>
    <definedName name="Jun04AMA">'[25]BS'!$AI$7:$AI$3582</definedName>
    <definedName name="Jun05">'[27]1.06'!#REF!</definedName>
    <definedName name="Jun05AMA">'[27]1.06'!#REF!</definedName>
    <definedName name="KWH1_A">'[6]A'!#REF!</definedName>
    <definedName name="LABOR">#REF!</definedName>
    <definedName name="Last_Row" localSheetId="1">IF([0]!Values_Entered,Header_Row+'Summary Gas'!Number_of_Payments,Header_Row)</definedName>
    <definedName name="Last_Row">IF([0]!Values_Entered,Header_Row+[0]!Number_of_Payments,Header_Row)</definedName>
    <definedName name="LATEPAY">#REF!</definedName>
    <definedName name="Lease_total">'[14]Forecast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ST" localSheetId="0">#REF!</definedName>
    <definedName name="LIST" localSheetId="1">#REF!</definedName>
    <definedName name="LIST">#REF!</definedName>
    <definedName name="LIST2" localSheetId="0">#REF!</definedName>
    <definedName name="LIST2" localSheetId="1">#REF!</definedName>
    <definedName name="LIST2">#REF!</definedName>
    <definedName name="LoadArray">'[22]Load Source Data'!$C$78:$X$89</definedName>
    <definedName name="LoadGrowthAdder">#REF!</definedName>
    <definedName name="manutaxfit">#REF!</definedName>
    <definedName name="Mar03AMA">'[28]BS C&amp;L'!#REF!</definedName>
    <definedName name="Mar04">'[25]BS'!$T$7:$T$3582</definedName>
    <definedName name="Mar04AMA">'[25]BS'!$AF$7:$AF$3582</definedName>
    <definedName name="Mar05">'[27]1.06'!#REF!</definedName>
    <definedName name="Mar05AMA">'[27]1.06'!#REF!</definedName>
    <definedName name="May03AMA">'[28]BS C&amp;L'!#REF!</definedName>
    <definedName name="May04">'[25]BS'!$V$7:$V$3582</definedName>
    <definedName name="May04AMA">'[25]BS'!$AH$7:$AH$3582</definedName>
    <definedName name="May05">'[27]1.06'!#REF!</definedName>
    <definedName name="May05AMA">'[27]1.06'!#REF!</definedName>
    <definedName name="mcnarycost">#REF!</definedName>
    <definedName name="mcnarytoggle">#REF!</definedName>
    <definedName name="median_energy">#REF!</definedName>
    <definedName name="MERGER_COST">'[29]Sheet1'!$AF$3:$AJ$28</definedName>
    <definedName name="MISCELLANEOUS">#REF!</definedName>
    <definedName name="MonTotalDispatch">'[21]Dispatch'!#REF!</definedName>
    <definedName name="MT">#REF!</definedName>
    <definedName name="MTD_Format">'[32]Mthly'!$B$11:$D$11,'[32]Mthly'!$B$35:$D$35</definedName>
    <definedName name="MustRunGen">'[21]Dispatch'!#REF!</definedName>
    <definedName name="Mwh">#REF!</definedName>
    <definedName name="mwh2">#REF!</definedName>
    <definedName name="nameplate">#REF!</definedName>
    <definedName name="NEWCOSTS" localSheetId="0">#REF!</definedName>
    <definedName name="NEWCOSTS" localSheetId="1">#REF!</definedName>
    <definedName name="NEWCOSTS">#REF!</definedName>
    <definedName name="nonrefundtrans">#REF!</definedName>
    <definedName name="Nov03">'[26]BS'!$S$7:$S$3582</definedName>
    <definedName name="Nov03AMA">'[26]BS'!$AI$7:$AI$3582</definedName>
    <definedName name="Nov04">'[25]BS'!$AB$7:$AB$3582</definedName>
    <definedName name="Nov04AMA">'[25]BS'!$AN$7:$AN$3582</definedName>
    <definedName name="novcf">#REF!</definedName>
    <definedName name="novcost">#REF!</definedName>
    <definedName name="Number_of_Payments" localSheetId="1">MATCH(0.01,End_Bal,-1)+1</definedName>
    <definedName name="Number_of_Payments">MATCH(0.01,End_Bal,-1)+1</definedName>
    <definedName name="numturbines">#REF!</definedName>
    <definedName name="numturbptc">#REF!</definedName>
    <definedName name="NWSales_MWH">'[30]DT_A_AMW93'!#REF!</definedName>
    <definedName name="OBCLEASE">#REF!</definedName>
    <definedName name="Oct03">'[26]BS'!$R$7:$R$3582</definedName>
    <definedName name="Oct03AMA">'[26]BS'!$AH$7:$AH$3582</definedName>
    <definedName name="Oct04">'[25]BS'!$AA$7:$AA$3582</definedName>
    <definedName name="Oct04AMA">'[25]BS'!$AM$7:$AM$3582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utlookdata">'[31]pivoted data'!$D$3:$Q$90</definedName>
    <definedName name="ox" localSheetId="19" hidden="1">{"SchC2",#N/A,FALSE,"Sch C"}</definedName>
    <definedName name="ox" localSheetId="0" hidden="1">{"SchC2",#N/A,FALSE,"Sch C"}</definedName>
    <definedName name="ox" localSheetId="1" hidden="1">{"SchC2",#N/A,FALSE,"Sch C"}</definedName>
    <definedName name="ox" hidden="1">{"SchC2",#N/A,FALSE,"Sch C"}</definedName>
    <definedName name="ox1" localSheetId="19" hidden="1">{"SchC3",#N/A,FALSE,"Sch C"}</definedName>
    <definedName name="ox1" localSheetId="0" hidden="1">{"SchC3",#N/A,FALSE,"Sch C"}</definedName>
    <definedName name="ox1" localSheetId="1" hidden="1">{"SchC3",#N/A,FALSE,"Sch C"}</definedName>
    <definedName name="ox1" hidden="1">{"SchC3",#N/A,FALSE,"Sch C"}</definedName>
    <definedName name="Page1">#REF!</definedName>
    <definedName name="Page2">#REF!</definedName>
    <definedName name="parasitic">#REF!</definedName>
    <definedName name="parasiticprice">#REF!</definedName>
    <definedName name="peak_new_table">'[17]2008 Extreme Peaks - 080403'!$E$5:$AD$8</definedName>
    <definedName name="peak_table">'[17]Peaks-F01'!$C$5:$E$243</definedName>
    <definedName name="PEBBLE">#REF!</definedName>
    <definedName name="percdebtcov">#REF!</definedName>
    <definedName name="Percent_debt" localSheetId="12">'[19]Inputs'!$E$129</definedName>
    <definedName name="Percent_debt">'[10]Inputs'!$E$129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'[18]Assumptions'!$I$56</definedName>
    <definedName name="pretaxequit">#REF!</definedName>
    <definedName name="PreTaxWACC" localSheetId="12">'[18]Assumptions'!$I$62</definedName>
    <definedName name="PreTaxWACC">#REF!</definedName>
    <definedName name="PriceCaseTable">#REF!</definedName>
    <definedName name="Prices_Aurora">'[23]Monthly Price Summary'!$C$4:$H$63</definedName>
    <definedName name="_xlnm.Print_Area" localSheetId="16">'Aircraft'!$A$1:$I$41</definedName>
    <definedName name="_xlnm.Print_Area" localSheetId="19">'Airport Parking'!$A$1:$I$36</definedName>
    <definedName name="_xlnm.Print_Area" localSheetId="17">'Athletic Events'!$A$1:$I$36</definedName>
    <definedName name="_xlnm.Print_Area" localSheetId="18">'D&amp;O'!$A$1:$I$38</definedName>
    <definedName name="_xlnm.Print_Area" localSheetId="2">'Electric'!$A$1:$Z$60</definedName>
    <definedName name="_xlnm.Print_Area" localSheetId="6">'Hopkins Ridge'!$A$1:$G$39</definedName>
    <definedName name="_xlnm.Print_Area" localSheetId="14">'Incentive pay'!$A$1:$G$40</definedName>
    <definedName name="_xlnm.Print_Area" localSheetId="11">'King Deprec'!$A$1:$I$39</definedName>
    <definedName name="_xlnm.Print_Area" localSheetId="10">'Misc Int.'!$A$1:$D$36</definedName>
    <definedName name="_xlnm.Print_Area" localSheetId="13">'SERP'!$A$1:$I$32</definedName>
    <definedName name="_xlnm.Print_Area" localSheetId="15">'Shareholder'!$A$1:$J$41</definedName>
    <definedName name="_xlnm.Print_Area" localSheetId="0">'Summary Electric'!$A$1:$G$31</definedName>
    <definedName name="_xlnm.Print_Area" localSheetId="1">'Summary Gas'!$A$1:$G$30</definedName>
    <definedName name="_xlnm.Print_Area" localSheetId="7">'Wild Horse'!$A$1:$G$41</definedName>
    <definedName name="_xlnm.Print_Area">'C:\Assorted revenue requirement examples\KY American Water Final Exhibits\[MJM-1.xls]Sch 2'!$A$1:$D$72</definedName>
    <definedName name="_xlnm.Print_Titles" localSheetId="2">'Electric'!$A:$D,'Electric'!$1:$12</definedName>
    <definedName name="_xlnm.Print_Titles" localSheetId="3">'Gas'!$A:$C,'Gas'!$1:$13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ptaxdiscfactor">#REF!</definedName>
    <definedName name="proptaxrate">#REF!</definedName>
    <definedName name="Prov_Cap_Tax" localSheetId="12">'[19]Inputs'!$E$111</definedName>
    <definedName name="Prov_Cap_Tax">'[10]Inputs'!$E$111</definedName>
    <definedName name="PSE">'Gas'!#REF!</definedName>
    <definedName name="PSE_Pre_Tax_Equity_Rate">'[15]Assumptions of Purchase'!$B$42</definedName>
    <definedName name="PSEBPAshare">#REF!</definedName>
    <definedName name="pseownperc">#REF!</definedName>
    <definedName name="PSEWACC">#REF!</definedName>
    <definedName name="PSPL" localSheetId="12">#REF!</definedName>
    <definedName name="PSPL">'Conversion Factor'!#REF!</definedName>
    <definedName name="PTC">#REF!</definedName>
    <definedName name="ptceffective">#REF!</definedName>
    <definedName name="PTCescal">#REF!</definedName>
    <definedName name="ptcescalstart">#REF!</definedName>
    <definedName name="PWRCSTPF">#REF!</definedName>
    <definedName name="PWRCSTRS">#REF!</definedName>
    <definedName name="PWRCSTWP">#REF!</definedName>
    <definedName name="PWRCSTWR">#REF!</definedName>
    <definedName name="QA">'[24]IPOA2002'!#REF!</definedName>
    <definedName name="QTD_Format">'[32]QTD'!$B$11:$D$11,'[32]QTD'!$B$35:$D$35</definedName>
    <definedName name="RATE">#REF!</definedName>
    <definedName name="Rate_Case_Labor">#REF!</definedName>
    <definedName name="RATE2">'[34]Transp Data'!$A$8:$I$112</definedName>
    <definedName name="RATEBASE">#REF!</definedName>
    <definedName name="RATEBASE_U95">#REF!</definedName>
    <definedName name="RATECASE">#REF!</definedName>
    <definedName name="RdSch_CY">'[33]INPUT TAB'!#REF!</definedName>
    <definedName name="RdSch_PY">'[33]INPUT TAB'!#REF!</definedName>
    <definedName name="RdSch_PY2">'[33]INPUT TAB'!#REF!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'[20]#REF'!$B$3:$C$112</definedName>
    <definedName name="RESTATING">#REF!</definedName>
    <definedName name="Results">#REF!</definedName>
    <definedName name="retain">#REF!</definedName>
    <definedName name="RETIREPLAN">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_A" localSheetId="0">'Summary Electric'!$A$1:$E$56</definedName>
    <definedName name="SCH_A" localSheetId="1">'Summary Gas'!$A$1:$E$55</definedName>
    <definedName name="SCH_A">'[2]Sch 1'!$A$1:$E$62</definedName>
    <definedName name="SCH_B">'[5]Sch 1'!$A$1:$D$44</definedName>
    <definedName name="SCH_C">'[2]Sch 2'!$A$1:$D$72</definedName>
    <definedName name="SCH_H" localSheetId="0">#REF!</definedName>
    <definedName name="SCH_H" localSheetId="1">#REF!</definedName>
    <definedName name="SCH_H">'[2]Sch 3'!$A$1:$F$37</definedName>
    <definedName name="Sch194Rlfwd">'[33]Sch94 Rlfwd'!$B$11</definedName>
    <definedName name="schedtoggle">#REF!</definedName>
    <definedName name="SecSSW_MWH">'[30]DT_A_AMW93'!#REF!</definedName>
    <definedName name="Sep03">'[26]BS'!$Q$7:$Q$3582</definedName>
    <definedName name="Sep03AMA">'[26]BS'!$AG$7:$AG$3582</definedName>
    <definedName name="Sep04">'[25]BS'!$Z$7:$Z$3582</definedName>
    <definedName name="Sep04AMA">'[25]BS'!$AL$7:$AL$3582</definedName>
    <definedName name="Sep05">'[27]1.06'!#REF!</definedName>
    <definedName name="sepcf">#REF!</definedName>
    <definedName name="sepcost">#REF!</definedName>
    <definedName name="SKAGIT">#REF!</definedName>
    <definedName name="SLFINSURANCE">#REF!</definedName>
    <definedName name="SolarDate">'[21]Dispatch Cases'!#REF!</definedName>
    <definedName name="STAFFREDUC">#REF!</definedName>
    <definedName name="StartDate">'[18]Assumptions'!$C$9</definedName>
    <definedName name="stationserv">#REF!</definedName>
    <definedName name="STORM">#REF!</definedName>
    <definedName name="SUMMARY" localSheetId="12">#REF!</definedName>
    <definedName name="SUMMARY" localSheetId="3">'Gas'!$A$6:$U$61</definedName>
    <definedName name="Summary">'Electric'!$A$5:$Z$58</definedName>
    <definedName name="supentit_in_wkly_vect_input">#REF!</definedName>
    <definedName name="supentit_out_wkly_vect_input">#REF!</definedName>
    <definedName name="SWSales_MWH">'[30]DT_A_AMW93'!#REF!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EMPADJ">#REF!</definedName>
    <definedName name="TenaskaShare">'[21]Dispatch'!#REF!</definedName>
    <definedName name="Test">'[27]1.06'!#REF!</definedName>
    <definedName name="TEST0">#REF!</definedName>
    <definedName name="TESTHKEY">#REF!</definedName>
    <definedName name="TESTKEYS">#REF!</definedName>
    <definedName name="TESTVKEY">#REF!</definedName>
    <definedName name="TESTYEAR" localSheetId="4">'Conversion Factor'!#REF!</definedName>
    <definedName name="TESTYEAR" localSheetId="12">#REF!</definedName>
    <definedName name="TESTYEAR" localSheetId="3">'Gas'!#REF!</definedName>
    <definedName name="TESTYEAR">'Electric'!#REF!</definedName>
    <definedName name="Therm_upload">#REF!</definedName>
    <definedName name="ThermalBookLife">'[18]Assumptions'!$C$25</definedName>
    <definedName name="therms">#REF!</definedName>
    <definedName name="thirdpartyIRR">#REF!</definedName>
    <definedName name="Title">'[18]Assumptions'!$A$1</definedName>
    <definedName name="today">#REF!</definedName>
    <definedName name="TopLeft">#REF!</definedName>
    <definedName name="totaldebt">#REF!</definedName>
    <definedName name="totalequit">#REF!</definedName>
    <definedName name="TRADING_NET">'[30]DT_A_DOL93'!#REF!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'[18]Assumptions'!$C$21</definedName>
    <definedName name="WACC" localSheetId="12">'[18]Assumptions'!$I$61</definedName>
    <definedName name="WACC">#REF!</definedName>
    <definedName name="WAGES">#REF!</definedName>
    <definedName name="warrantyOM">#REF!</definedName>
    <definedName name="whorn_db">#REF!</definedName>
    <definedName name="WindDate">'[21]Dispatch Cases'!#REF!</definedName>
    <definedName name="WRKCAP">#REF!</definedName>
    <definedName name="wrn.All._.Schedule._.B._.Exhibits." localSheetId="19" hidden="1">{"All Sch B Exhibits",#N/A,FALSE,"Sch B"}</definedName>
    <definedName name="wrn.All._.Schedule._.B._.Exhibits." localSheetId="0" hidden="1">{"All Sch B Exhibits",#N/A,FALSE,"Sch B"}</definedName>
    <definedName name="wrn.All._.Schedule._.B._.Exhibits." localSheetId="1" hidden="1">{"All Sch B Exhibits",#N/A,FALSE,"Sch B"}</definedName>
    <definedName name="wrn.All._.Schedule._.B._.Exhibits." hidden="1">{"All Sch B Exhibits",#N/A,FALSE,"Sch B"}</definedName>
    <definedName name="wrn.CA._.CIAC._.Wkp." localSheetId="19" hidden="1">{"CA CIAC Forecasted Activity",#N/A,FALSE,"Cust Adv CIAC";"CA CIAC Balances and Amort of CIAC",#N/A,FALSE,"Cust Adv CIAC"}</definedName>
    <definedName name="wrn.CA._.CIAC._.Wkp." localSheetId="0" hidden="1">{"CA CIAC Forecasted Activity",#N/A,FALSE,"Cust Adv CIAC";"CA CIAC Balances and Amort of CIAC",#N/A,FALSE,"Cust Adv CIAC"}</definedName>
    <definedName name="wrn.CA._.CIAC._.Wkp." localSheetId="1" hidden="1">{"CA CIAC Forecasted Activity",#N/A,FALSE,"Cust Adv CIAC";"CA CIAC Balances and Amort of CIAC",#N/A,FALSE,"Cust Adv CIAC"}</definedName>
    <definedName name="wrn.CA._.CIAC._.Wkp." hidden="1">{"CA CIAC Forecasted Activity",#N/A,FALSE,"Cust Adv CIAC";"CA CIAC Balances and Amort of CIAC",#N/A,FALSE,"Cust Adv CIAC"}</definedName>
    <definedName name="wrn.COSReport." localSheetId="19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0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localSheetId="1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Customer._.Counts._.Electric." localSheetId="1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9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9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9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19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19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chA." localSheetId="19" hidden="1">{"SchA",#N/A,FALSE,"Sch A"}</definedName>
    <definedName name="wrn.SchA." localSheetId="0" hidden="1">{"SchA",#N/A,FALSE,"Sch A"}</definedName>
    <definedName name="wrn.SchA." localSheetId="1" hidden="1">{"SchA",#N/A,FALSE,"Sch A"}</definedName>
    <definedName name="wrn.SchA." hidden="1">{"SchA",#N/A,FALSE,"Sch A"}</definedName>
    <definedName name="wrn.SchB1." localSheetId="19" hidden="1">{"SchB1",#N/A,FALSE,"Sch B"}</definedName>
    <definedName name="wrn.SchB1." localSheetId="0" hidden="1">{"SchB1",#N/A,FALSE,"Sch B"}</definedName>
    <definedName name="wrn.SchB1." localSheetId="1" hidden="1">{"SchB1",#N/A,FALSE,"Sch B"}</definedName>
    <definedName name="wrn.SchB1." hidden="1">{"SchB1",#N/A,FALSE,"Sch B"}</definedName>
    <definedName name="wrn.SchB2." localSheetId="19" hidden="1">{"SchB2",#N/A,FALSE,"Sch B"}</definedName>
    <definedName name="wrn.SchB2." localSheetId="0" hidden="1">{"SchB2",#N/A,FALSE,"Sch B"}</definedName>
    <definedName name="wrn.SchB2." localSheetId="1" hidden="1">{"SchB2",#N/A,FALSE,"Sch B"}</definedName>
    <definedName name="wrn.SchB2." hidden="1">{"SchB2",#N/A,FALSE,"Sch B"}</definedName>
    <definedName name="wrn.SchB2.1." localSheetId="19" hidden="1">{"SchB2.1",#N/A,FALSE,"Sch B"}</definedName>
    <definedName name="wrn.SchB2.1." localSheetId="0" hidden="1">{"SchB2.1",#N/A,FALSE,"Sch B"}</definedName>
    <definedName name="wrn.SchB2.1." localSheetId="1" hidden="1">{"SchB2.1",#N/A,FALSE,"Sch B"}</definedName>
    <definedName name="wrn.SchB2.1." hidden="1">{"SchB2.1",#N/A,FALSE,"Sch B"}</definedName>
    <definedName name="wrn.SchB2.2." localSheetId="19" hidden="1">{"SchB2.2",#N/A,FALSE,"Sch B"}</definedName>
    <definedName name="wrn.SchB2.2." localSheetId="0" hidden="1">{"SchB2.2",#N/A,FALSE,"Sch B"}</definedName>
    <definedName name="wrn.SchB2.2." localSheetId="1" hidden="1">{"SchB2.2",#N/A,FALSE,"Sch B"}</definedName>
    <definedName name="wrn.SchB2.2." hidden="1">{"SchB2.2",#N/A,FALSE,"Sch B"}</definedName>
    <definedName name="wrn.SchB2.3." localSheetId="19" hidden="1">{"SchB2.3",#N/A,FALSE,"Sch B"}</definedName>
    <definedName name="wrn.SchB2.3." localSheetId="0" hidden="1">{"SchB2.3",#N/A,FALSE,"Sch B"}</definedName>
    <definedName name="wrn.SchB2.3." localSheetId="1" hidden="1">{"SchB2.3",#N/A,FALSE,"Sch B"}</definedName>
    <definedName name="wrn.SchB2.3." hidden="1">{"SchB2.3",#N/A,FALSE,"Sch B"}</definedName>
    <definedName name="wrn.SchB2.4." localSheetId="19" hidden="1">{"Schb2.4",#N/A,FALSE,"Sch B"}</definedName>
    <definedName name="wrn.SchB2.4." localSheetId="0" hidden="1">{"Schb2.4",#N/A,FALSE,"Sch B"}</definedName>
    <definedName name="wrn.SchB2.4." localSheetId="1" hidden="1">{"Schb2.4",#N/A,FALSE,"Sch B"}</definedName>
    <definedName name="wrn.SchB2.4." hidden="1">{"Schb2.4",#N/A,FALSE,"Sch B"}</definedName>
    <definedName name="wrn.SchB2.5." localSheetId="19" hidden="1">{"SchB2.5",#N/A,FALSE,"Sch B"}</definedName>
    <definedName name="wrn.SchB2.5." localSheetId="0" hidden="1">{"SchB2.5",#N/A,FALSE,"Sch B"}</definedName>
    <definedName name="wrn.SchB2.5." localSheetId="1" hidden="1">{"SchB2.5",#N/A,FALSE,"Sch B"}</definedName>
    <definedName name="wrn.SchB2.5." hidden="1">{"SchB2.5",#N/A,FALSE,"Sch B"}</definedName>
    <definedName name="wrn.SchB2.6." localSheetId="19" hidden="1">{"SchB2.6",#N/A,FALSE,"Sch B"}</definedName>
    <definedName name="wrn.SchB2.6." localSheetId="0" hidden="1">{"SchB2.6",#N/A,FALSE,"Sch B"}</definedName>
    <definedName name="wrn.SchB2.6." localSheetId="1" hidden="1">{"SchB2.6",#N/A,FALSE,"Sch B"}</definedName>
    <definedName name="wrn.SchB2.6." hidden="1">{"SchB2.6",#N/A,FALSE,"Sch B"}</definedName>
    <definedName name="wrn.SchB2.7." localSheetId="19" hidden="1">{"SchB2.7",#N/A,FALSE,"Sch B"}</definedName>
    <definedName name="wrn.SchB2.7." localSheetId="0" hidden="1">{"SchB2.7",#N/A,FALSE,"Sch B"}</definedName>
    <definedName name="wrn.SchB2.7." localSheetId="1" hidden="1">{"SchB2.7",#N/A,FALSE,"Sch B"}</definedName>
    <definedName name="wrn.SchB2.7." hidden="1">{"SchB2.7",#N/A,FALSE,"Sch B"}</definedName>
    <definedName name="wrn.SchB3." localSheetId="19" hidden="1">{"SchB3",#N/A,FALSE,"Sch B"}</definedName>
    <definedName name="wrn.SchB3." localSheetId="0" hidden="1">{"SchB3",#N/A,FALSE,"Sch B"}</definedName>
    <definedName name="wrn.SchB3." localSheetId="1" hidden="1">{"SchB3",#N/A,FALSE,"Sch B"}</definedName>
    <definedName name="wrn.SchB3." hidden="1">{"SchB3",#N/A,FALSE,"Sch B"}</definedName>
    <definedName name="wrn.SchB3.1." localSheetId="19" hidden="1">{"SchB3.1",#N/A,FALSE,"Sch B"}</definedName>
    <definedName name="wrn.SchB3.1." localSheetId="0" hidden="1">{"SchB3.1",#N/A,FALSE,"Sch B"}</definedName>
    <definedName name="wrn.SchB3.1." localSheetId="1" hidden="1">{"SchB3.1",#N/A,FALSE,"Sch B"}</definedName>
    <definedName name="wrn.SchB3.1." hidden="1">{"SchB3.1",#N/A,FALSE,"Sch B"}</definedName>
    <definedName name="wrn.SchB3.2." localSheetId="19" hidden="1">{"SchB3.2",#N/A,FALSE,"Sch B"}</definedName>
    <definedName name="wrn.SchB3.2." localSheetId="0" hidden="1">{"SchB3.2",#N/A,FALSE,"Sch B"}</definedName>
    <definedName name="wrn.SchB3.2." localSheetId="1" hidden="1">{"SchB3.2",#N/A,FALSE,"Sch B"}</definedName>
    <definedName name="wrn.SchB3.2." hidden="1">{"SchB3.2",#N/A,FALSE,"Sch B"}</definedName>
    <definedName name="wrn.SchB4." localSheetId="19" hidden="1">{"SchB4",#N/A,FALSE,"Sch B"}</definedName>
    <definedName name="wrn.SchB4." localSheetId="0" hidden="1">{"SchB4",#N/A,FALSE,"Sch B"}</definedName>
    <definedName name="wrn.SchB4." localSheetId="1" hidden="1">{"SchB4",#N/A,FALSE,"Sch B"}</definedName>
    <definedName name="wrn.SchB4." hidden="1">{"SchB4",#N/A,FALSE,"Sch B"}</definedName>
    <definedName name="wrn.SchB4.1." localSheetId="19" hidden="1">{"SchB4.1",#N/A,FALSE,"Sch B"}</definedName>
    <definedName name="wrn.SchB4.1." localSheetId="0" hidden="1">{"SchB4.1",#N/A,FALSE,"Sch B"}</definedName>
    <definedName name="wrn.SchB4.1." localSheetId="1" hidden="1">{"SchB4.1",#N/A,FALSE,"Sch B"}</definedName>
    <definedName name="wrn.SchB4.1." hidden="1">{"SchB4.1",#N/A,FALSE,"Sch B"}</definedName>
    <definedName name="wrn.SchB5." localSheetId="19" hidden="1">{"SchB5",#N/A,FALSE,"Sch B"}</definedName>
    <definedName name="wrn.SchB5." localSheetId="0" hidden="1">{"SchB5",#N/A,FALSE,"Sch B"}</definedName>
    <definedName name="wrn.SchB5." localSheetId="1" hidden="1">{"SchB5",#N/A,FALSE,"Sch B"}</definedName>
    <definedName name="wrn.SchB5." hidden="1">{"SchB5",#N/A,FALSE,"Sch B"}</definedName>
    <definedName name="wrn.SchB5.1." localSheetId="19" hidden="1">{"SchB5.1",#N/A,FALSE,"Sch B"}</definedName>
    <definedName name="wrn.SchB5.1." localSheetId="0" hidden="1">{"SchB5.1",#N/A,FALSE,"Sch B"}</definedName>
    <definedName name="wrn.SchB5.1." localSheetId="1" hidden="1">{"SchB5.1",#N/A,FALSE,"Sch B"}</definedName>
    <definedName name="wrn.SchB5.1." hidden="1">{"SchB5.1",#N/A,FALSE,"Sch B"}</definedName>
    <definedName name="wrn.SchB5.2." localSheetId="19" hidden="1">{"SchB5.2",#N/A,FALSE,"Sch B"}</definedName>
    <definedName name="wrn.SchB5.2." localSheetId="0" hidden="1">{"SchB5.2",#N/A,FALSE,"Sch B"}</definedName>
    <definedName name="wrn.SchB5.2." localSheetId="1" hidden="1">{"SchB5.2",#N/A,FALSE,"Sch B"}</definedName>
    <definedName name="wrn.SchB5.2." hidden="1">{"SchB5.2",#N/A,FALSE,"Sch B"}</definedName>
    <definedName name="wrn.SchB6." localSheetId="19" hidden="1">{"SchB6",#N/A,FALSE,"Sch B"}</definedName>
    <definedName name="wrn.SchB6." localSheetId="0" hidden="1">{"SchB6",#N/A,FALSE,"Sch B"}</definedName>
    <definedName name="wrn.SchB6." localSheetId="1" hidden="1">{"SchB6",#N/A,FALSE,"Sch B"}</definedName>
    <definedName name="wrn.SchB6." hidden="1">{"SchB6",#N/A,FALSE,"Sch B"}</definedName>
    <definedName name="wrn.SchB7." localSheetId="19" hidden="1">{"SchB7",#N/A,FALSE,"Sch B"}</definedName>
    <definedName name="wrn.SchB7." localSheetId="0" hidden="1">{"SchB7",#N/A,FALSE,"Sch B"}</definedName>
    <definedName name="wrn.SchB7." localSheetId="1" hidden="1">{"SchB7",#N/A,FALSE,"Sch B"}</definedName>
    <definedName name="wrn.SchB7." hidden="1">{"SchB7",#N/A,FALSE,"Sch B"}</definedName>
    <definedName name="wrn.SchB7.1." localSheetId="19" hidden="1">{"SchB7.1",#N/A,FALSE,"Sch B"}</definedName>
    <definedName name="wrn.SchB7.1." localSheetId="0" hidden="1">{"SchB7.1",#N/A,FALSE,"Sch B"}</definedName>
    <definedName name="wrn.SchB7.1." localSheetId="1" hidden="1">{"SchB7.1",#N/A,FALSE,"Sch B"}</definedName>
    <definedName name="wrn.SchB7.1." hidden="1">{"SchB7.1",#N/A,FALSE,"Sch B"}</definedName>
    <definedName name="wrn.SchB7.2." localSheetId="19" hidden="1">{"SchB7.2",#N/A,FALSE,"Sch B"}</definedName>
    <definedName name="wrn.SchB7.2." localSheetId="0" hidden="1">{"SchB7.2",#N/A,FALSE,"Sch B"}</definedName>
    <definedName name="wrn.SchB7.2." localSheetId="1" hidden="1">{"SchB7.2",#N/A,FALSE,"Sch B"}</definedName>
    <definedName name="wrn.SchB7.2." hidden="1">{"SchB7.2",#N/A,FALSE,"Sch B"}</definedName>
    <definedName name="wrn.SchB8." localSheetId="19" hidden="1">{"SchB8",#N/A,FALSE,"Sch B"}</definedName>
    <definedName name="wrn.SchB8." localSheetId="0" hidden="1">{"SchB8",#N/A,FALSE,"Sch B"}</definedName>
    <definedName name="wrn.SchB8." localSheetId="1" hidden="1">{"SchB8",#N/A,FALSE,"Sch B"}</definedName>
    <definedName name="wrn.SchB8." hidden="1">{"SchB8",#N/A,FALSE,"Sch B"}</definedName>
    <definedName name="wrn.SchC." localSheetId="19" hidden="1">{"SchC1",#N/A,FALSE,"Sch C";"SchC2",#N/A,FALSE,"Sch C";"SchC3",#N/A,FALSE,"Sch C"}</definedName>
    <definedName name="wrn.SchC." localSheetId="0" hidden="1">{"SchC1",#N/A,FALSE,"Sch C";"SchC2",#N/A,FALSE,"Sch C";"SchC3",#N/A,FALSE,"Sch C"}</definedName>
    <definedName name="wrn.SchC." localSheetId="1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19" hidden="1">{"SchC1",#N/A,FALSE,"Sch C"}</definedName>
    <definedName name="wrn.SchC1." localSheetId="0" hidden="1">{"SchC1",#N/A,FALSE,"Sch C"}</definedName>
    <definedName name="wrn.SchC1." localSheetId="1" hidden="1">{"SchC1",#N/A,FALSE,"Sch C"}</definedName>
    <definedName name="wrn.SchC1." hidden="1">{"SchC1",#N/A,FALSE,"Sch C"}</definedName>
    <definedName name="wrn.SchC2." localSheetId="19" hidden="1">{"SchC2",#N/A,FALSE,"Sch C"}</definedName>
    <definedName name="wrn.SchC2." localSheetId="0" hidden="1">{"SchC2",#N/A,FALSE,"Sch C"}</definedName>
    <definedName name="wrn.SchC2." localSheetId="1" hidden="1">{"SchC2",#N/A,FALSE,"Sch C"}</definedName>
    <definedName name="wrn.SchC2." hidden="1">{"SchC2",#N/A,FALSE,"Sch C"}</definedName>
    <definedName name="wrn.SchC3." localSheetId="19" hidden="1">{"SchC3",#N/A,FALSE,"Sch C"}</definedName>
    <definedName name="wrn.SchC3." localSheetId="0" hidden="1">{"SchC3",#N/A,FALSE,"Sch C"}</definedName>
    <definedName name="wrn.SchC3." localSheetId="1" hidden="1">{"SchC3",#N/A,FALSE,"Sch C"}</definedName>
    <definedName name="wrn.SchC3." hidden="1">{"SchC3",#N/A,FALSE,"Sch C"}</definedName>
    <definedName name="wrn.SchD." localSheetId="19" hidden="1">{"SchD1",#N/A,FALSE,"Sch D";"SchD2",#N/A,FALSE,"Sch D";"SchD3",#N/A,FALSE,"Sch D";"SchD4",#N/A,FALSE,"Sch D";"SchD5",#N/A,FALSE,"Sch D"}</definedName>
    <definedName name="wrn.SchD." localSheetId="0" hidden="1">{"SchD1",#N/A,FALSE,"Sch D";"SchD2",#N/A,FALSE,"Sch D";"SchD3",#N/A,FALSE,"Sch D";"SchD4",#N/A,FALSE,"Sch D";"SchD5",#N/A,FALSE,"Sch D"}</definedName>
    <definedName name="wrn.SchD." localSheetId="1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19" hidden="1">{"SchD1",#N/A,FALSE,"Sch D"}</definedName>
    <definedName name="wrn.SchD1." localSheetId="0" hidden="1">{"SchD1",#N/A,FALSE,"Sch D"}</definedName>
    <definedName name="wrn.SchD1." localSheetId="1" hidden="1">{"SchD1",#N/A,FALSE,"Sch D"}</definedName>
    <definedName name="wrn.SchD1." hidden="1">{"SchD1",#N/A,FALSE,"Sch D"}</definedName>
    <definedName name="wrn.SchD2." localSheetId="19" hidden="1">{"SchD2",#N/A,FALSE,"Sch D"}</definedName>
    <definedName name="wrn.SchD2." localSheetId="0" hidden="1">{"SchD2",#N/A,FALSE,"Sch D"}</definedName>
    <definedName name="wrn.SchD2." localSheetId="1" hidden="1">{"SchD2",#N/A,FALSE,"Sch D"}</definedName>
    <definedName name="wrn.SchD2." hidden="1">{"SchD2",#N/A,FALSE,"Sch D"}</definedName>
    <definedName name="wrn.SchD3." localSheetId="19" hidden="1">{"SchD3",#N/A,FALSE,"Sch D"}</definedName>
    <definedName name="wrn.SchD3." localSheetId="0" hidden="1">{"SchD3",#N/A,FALSE,"Sch D"}</definedName>
    <definedName name="wrn.SchD3." localSheetId="1" hidden="1">{"SchD3",#N/A,FALSE,"Sch D"}</definedName>
    <definedName name="wrn.SchD3." hidden="1">{"SchD3",#N/A,FALSE,"Sch D"}</definedName>
    <definedName name="wrn.SchD4." localSheetId="19" hidden="1">{"SchD4",#N/A,FALSE,"Sch D"}</definedName>
    <definedName name="wrn.SchD4." localSheetId="0" hidden="1">{"SchD4",#N/A,FALSE,"Sch D"}</definedName>
    <definedName name="wrn.SchD4." localSheetId="1" hidden="1">{"SchD4",#N/A,FALSE,"Sch D"}</definedName>
    <definedName name="wrn.SchD4." hidden="1">{"SchD4",#N/A,FALSE,"Sch D"}</definedName>
    <definedName name="wrn.SchD5." localSheetId="19" hidden="1">{"SchD5",#N/A,FALSE,"Sch D"}</definedName>
    <definedName name="wrn.SchD5." localSheetId="0" hidden="1">{"SchD5",#N/A,FALSE,"Sch D"}</definedName>
    <definedName name="wrn.SchD5." localSheetId="1" hidden="1">{"SchD5",#N/A,FALSE,"Sch D"}</definedName>
    <definedName name="wrn.SchD5." hidden="1">{"SchD5",#N/A,FALSE,"Sch D"}</definedName>
    <definedName name="wrn.SchE." localSheetId="19" hidden="1">{"SchE1.1",#N/A,FALSE,"Sch E";"SchE1.2",#N/A,FALSE,"Sch E";"SchE1.3",#N/A,FALSE,"Sch E";"SchE1.4",#N/A,FALSE,"Sch E";"SchE1.5",#N/A,FALSE,"Sch E";"SchE2",#N/A,FALSE,"Sch E"}</definedName>
    <definedName name="wrn.SchE." localSheetId="0" hidden="1">{"SchE1.1",#N/A,FALSE,"Sch E";"SchE1.2",#N/A,FALSE,"Sch E";"SchE1.3",#N/A,FALSE,"Sch E";"SchE1.4",#N/A,FALSE,"Sch E";"SchE1.5",#N/A,FALSE,"Sch E";"SchE2",#N/A,FALSE,"Sch E"}</definedName>
    <definedName name="wrn.SchE." localSheetId="1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19" hidden="1">{"SchE1.1",#N/A,FALSE,"Sch E"}</definedName>
    <definedName name="wrn.SchE1.1." localSheetId="0" hidden="1">{"SchE1.1",#N/A,FALSE,"Sch E"}</definedName>
    <definedName name="wrn.SchE1.1." localSheetId="1" hidden="1">{"SchE1.1",#N/A,FALSE,"Sch E"}</definedName>
    <definedName name="wrn.SchE1.1." hidden="1">{"SchE1.1",#N/A,FALSE,"Sch E"}</definedName>
    <definedName name="wrn.SchE1.2." localSheetId="19" hidden="1">{"SchE1.2",#N/A,FALSE,"Sch E"}</definedName>
    <definedName name="wrn.SchE1.2." localSheetId="0" hidden="1">{"SchE1.2",#N/A,FALSE,"Sch E"}</definedName>
    <definedName name="wrn.SchE1.2." localSheetId="1" hidden="1">{"SchE1.2",#N/A,FALSE,"Sch E"}</definedName>
    <definedName name="wrn.SchE1.2." hidden="1">{"SchE1.2",#N/A,FALSE,"Sch E"}</definedName>
    <definedName name="wrn.SchE1.3." localSheetId="19" hidden="1">{"SchE1.3",#N/A,FALSE,"Sch E"}</definedName>
    <definedName name="wrn.SchE1.3." localSheetId="0" hidden="1">{"SchE1.3",#N/A,FALSE,"Sch E"}</definedName>
    <definedName name="wrn.SchE1.3." localSheetId="1" hidden="1">{"SchE1.3",#N/A,FALSE,"Sch E"}</definedName>
    <definedName name="wrn.SchE1.3." hidden="1">{"SchE1.3",#N/A,FALSE,"Sch E"}</definedName>
    <definedName name="wrn.SchE1.4." localSheetId="19" hidden="1">{"SchE1.4",#N/A,FALSE,"Sch E"}</definedName>
    <definedName name="wrn.SchE1.4." localSheetId="0" hidden="1">{"SchE1.4",#N/A,FALSE,"Sch E"}</definedName>
    <definedName name="wrn.SchE1.4." localSheetId="1" hidden="1">{"SchE1.4",#N/A,FALSE,"Sch E"}</definedName>
    <definedName name="wrn.SchE1.4." hidden="1">{"SchE1.4",#N/A,FALSE,"Sch E"}</definedName>
    <definedName name="wrn.SchE1.5." localSheetId="19" hidden="1">{"SchE1.5",#N/A,FALSE,"Sch E"}</definedName>
    <definedName name="wrn.SchE1.5." localSheetId="0" hidden="1">{"SchE1.5",#N/A,FALSE,"Sch E"}</definedName>
    <definedName name="wrn.SchE1.5." localSheetId="1" hidden="1">{"SchE1.5",#N/A,FALSE,"Sch E"}</definedName>
    <definedName name="wrn.SchE1.5." hidden="1">{"SchE1.5",#N/A,FALSE,"Sch E"}</definedName>
    <definedName name="wrn.SchE2." localSheetId="19" hidden="1">{"SchE2",#N/A,FALSE,"Sch E"}</definedName>
    <definedName name="wrn.SchE2." localSheetId="0" hidden="1">{"SchE2",#N/A,FALSE,"Sch E"}</definedName>
    <definedName name="wrn.SchE2." localSheetId="1" hidden="1">{"SchE2",#N/A,FALSE,"Sch E"}</definedName>
    <definedName name="wrn.SchE2." hidden="1">{"SchE2",#N/A,FALSE,"Sch E"}</definedName>
    <definedName name="wrn.SchH." localSheetId="19" hidden="1">{"SchH",#N/A,FALSE,"Sch H"}</definedName>
    <definedName name="wrn.SchH." localSheetId="0" hidden="1">{"SchH",#N/A,FALSE,"Sch H"}</definedName>
    <definedName name="wrn.SchH." localSheetId="1" hidden="1">{"SchH",#N/A,FALSE,"Sch H"}</definedName>
    <definedName name="wrn.SchH." hidden="1">{"SchH",#N/A,FALSE,"Sch H"}</definedName>
    <definedName name="wrn.Small._.Tools._.Overhead." localSheetId="19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UTC_FILING_FEE">'Gas'!#REF!</definedName>
    <definedName name="wwp_wkly_vect_input">#REF!</definedName>
    <definedName name="Years_evaluated">'[9]Revison Inputs'!$B$6</definedName>
    <definedName name="YTD_Format">'[32]YTD'!$B$13:$D$13,'[32]YTD'!$B$36:$D$36</definedName>
    <definedName name="Z_01B1D346_12EC_11D4_8702_444553540000_.wvu.PrintArea" localSheetId="0" hidden="1">'Summary Electric'!$A$1:$E$56</definedName>
    <definedName name="Z_01B1D346_12EC_11D4_8702_444553540000_.wvu.PrintArea" localSheetId="1" hidden="1">'Summary Gas'!$A$1:$E$55</definedName>
    <definedName name="Z_01B1D347_12EC_11D4_8702_444553540000_.wvu.PrintArea" localSheetId="0" hidden="1">'Summary Electric'!$A$1:$E$56</definedName>
    <definedName name="Z_01B1D347_12EC_11D4_8702_444553540000_.wvu.PrintArea" localSheetId="1" hidden="1">'Summary Gas'!$A$1:$E$55</definedName>
    <definedName name="Z_067119CC_1C61_43DB_B4BB_54397DC63A91_.wvu.PrintArea" localSheetId="2" hidden="1">'Electric'!#REF!</definedName>
    <definedName name="Z_114781A2_0298_429A_B53B_CCDE7FC07C8A_.wvu.PrintArea" localSheetId="3" hidden="1">'Gas'!#REF!</definedName>
    <definedName name="Z_14262664_129C_4E9B_8245_4B43AF19E33A_.wvu.PrintArea" localSheetId="2" hidden="1">'Electric'!#REF!</definedName>
    <definedName name="Z_17768135_68BF_4539_94C0_50ED7816A698_.wvu.PrintArea" localSheetId="2" hidden="1">'Electric'!#REF!</definedName>
    <definedName name="Z_1B900283_A429_4403_A9D8_C71CBE042C5B_.wvu.PrintArea" localSheetId="3" hidden="1">'Gas'!#REF!</definedName>
    <definedName name="Z_1C1C43A1_DC1D_4B83_8878_3010F6B52F39_.wvu.PrintArea" localSheetId="3" hidden="1">'Gas'!#REF!</definedName>
    <definedName name="Z_1E45DDAB_A557_4269_B1F7_CCA75743796E_.wvu.PrintArea" localSheetId="3" hidden="1">'Gas'!#REF!</definedName>
    <definedName name="Z_1E64D771_8C52_4EFE_8F0D_67326F432767_.wvu.PrintArea" localSheetId="2" hidden="1">'Electric'!#REF!</definedName>
    <definedName name="Z_2779A5C0_097E_11D4_B714_004005A175E9_.wvu.PrintArea" localSheetId="0" hidden="1">'Summary Electric'!$A$1:$E$56</definedName>
    <definedName name="Z_2779A5C0_097E_11D4_B714_004005A175E9_.wvu.PrintArea" localSheetId="1" hidden="1">'Summary Gas'!$A$1:$E$55</definedName>
    <definedName name="Z_28C5A156_92F3_4234_9C7A_A32D75F798CC_.wvu.PrintArea" localSheetId="2" hidden="1">'Electric'!#REF!</definedName>
    <definedName name="Z_2C3700F5_7337_49E6_9C17_9B49CE910373_.wvu.PrintArea" localSheetId="3" hidden="1">'Gas'!#REF!</definedName>
    <definedName name="Z_2DBDF3D7_BA4D_404D_AE4B_DFD7008C0411_.wvu.PrintArea" localSheetId="2" hidden="1">'Electric'!#REF!</definedName>
    <definedName name="Z_31DFCE0A_9DA6_4A87_B609_465F85B537E0_.wvu.PrintArea" localSheetId="3" hidden="1">'Gas'!#REF!</definedName>
    <definedName name="Z_363BCC7B_365C_4862_8308_FD01127C4AC4_.wvu.PrintArea" localSheetId="3" hidden="1">'Gas'!#REF!</definedName>
    <definedName name="Z_368BDFFC_8B6F_4E1E_88F3_F226428845CF_.wvu.PrintArea" localSheetId="3" hidden="1">'Gas'!#REF!</definedName>
    <definedName name="Z_3797879C_3298_4122_A12D_3DFD0284FBDD_.wvu.PrintArea" localSheetId="2" hidden="1">'Electric'!#REF!</definedName>
    <definedName name="Z_3834E606_B28A_4696_9192_7BDA898195A1_.wvu.PrintArea" localSheetId="2" hidden="1">'Electric'!#REF!</definedName>
    <definedName name="Z_3CBED636_2D45_404E_AAC8_3EE8AD1E87DC_.wvu.PrintArea" localSheetId="3" hidden="1">'Gas'!#REF!</definedName>
    <definedName name="Z_3DB8EC99_BD55_4ABF_B71E_F70797B0173C_.wvu.PrintArea" localSheetId="2" hidden="1">'Electric'!#REF!</definedName>
    <definedName name="Z_40B7FB48_DAE3_4682_852F_AC0650D2BE14_.wvu.PrintArea" localSheetId="2" hidden="1">'Electric'!#REF!</definedName>
    <definedName name="Z_416960AD_1B0E_43B1_BBE2_4C2BAE619099_.wvu.PrintArea" localSheetId="3" hidden="1">'Gas'!#REF!</definedName>
    <definedName name="Z_41713566_6DDC_4C14_8259_D9C15B9E45DD_.wvu.PrintArea" localSheetId="2" hidden="1">'Electric'!#REF!</definedName>
    <definedName name="Z_423F2953_9177_4482_AE78_C7C47BA8995B_.wvu.PrintArea" localSheetId="2" hidden="1">'Electric'!#REF!</definedName>
    <definedName name="Z_4675C329_8836_11D2_9451_0008C780B76A_.wvu.PrintArea" localSheetId="0" hidden="1">'Summary Electric'!$A$1:$E$56</definedName>
    <definedName name="Z_4675C329_8836_11D2_9451_0008C780B76A_.wvu.PrintArea" localSheetId="1" hidden="1">'Summary Gas'!$A$1:$E$55</definedName>
    <definedName name="Z_46E5C546_9AEA_4E06_B017_805B7E255C92_.wvu.PrintArea" localSheetId="2" hidden="1">'Electric'!#REF!</definedName>
    <definedName name="Z_4840C72E_33E7_45CF_A897_030BC56F6B90_.wvu.PrintArea" localSheetId="2" hidden="1">'Electric'!#REF!</definedName>
    <definedName name="Z_4D415296_881A_4775_98CD_22EFE3033486_.wvu.PrintArea" localSheetId="3" hidden="1">'Gas'!#REF!</definedName>
    <definedName name="Z_5528C217_5C85_409E_BEF2_118EFA30D59F_.wvu.PrintArea" localSheetId="3" hidden="1">'Gas'!#REF!</definedName>
    <definedName name="Z_57344CAB_EDB4_4D23_8F83_6632FA133D6F_.wvu.PrintArea" localSheetId="3" hidden="1">'Gas'!#REF!</definedName>
    <definedName name="Z_605C023E_A5C7_400F_9AAA_827B8FDB13A8_.wvu.PrintArea" localSheetId="2" hidden="1">'Electric'!#REF!</definedName>
    <definedName name="Z_62EE4FB2_B9F8_4C5D_BC5C_181361F6DD86_.wvu.PrintArea" localSheetId="2" hidden="1">'Electric'!#REF!</definedName>
    <definedName name="Z_6734E4FA_60B7_471C_AEFF_A65F9BB053D8_.wvu.Cols" localSheetId="3" hidden="1">'Gas'!#REF!,'Gas'!#REF!</definedName>
    <definedName name="Z_6734E4FA_60B7_471C_AEFF_A65F9BB053D8_.wvu.PrintArea" localSheetId="3" hidden="1">'Gas'!$A$6:$U$61</definedName>
    <definedName name="Z_70410578_0BAB_407F_B45A_A1FD00E78914_.wvu.PrintArea" localSheetId="3" hidden="1">'Gas'!#REF!</definedName>
    <definedName name="Z_813D7A4F_EDF6_49ED_B8FD_B74D0B9276AB_.wvu.PrintArea" localSheetId="2" hidden="1">'Electric'!#REF!</definedName>
    <definedName name="Z_833E8250_6973_4555_A9B1_5ACEC89F3481_.wvu.PrintArea" localSheetId="3" hidden="1">'Gas'!#REF!</definedName>
    <definedName name="Z_88A240CE_F5A6_4995_A526_0E22BADCFF6D_.wvu.PrintArea" localSheetId="2" hidden="1">'Electric'!#REF!</definedName>
    <definedName name="Z_8920654A_B782_40BF_9A51_A43F20A27C02_.wvu.PrintArea" localSheetId="2" hidden="1">'Electric'!#REF!</definedName>
    <definedName name="Z_8E7EA697_A1C1_4FA5_9CC7_93304413A154_.wvu.PrintArea" localSheetId="2" hidden="1">'Electric'!#REF!</definedName>
    <definedName name="Z_990691EF_FF43_4000_BCD8_6862D2BAD44A_.wvu.PrintArea" localSheetId="2" hidden="1">'Electric'!#REF!</definedName>
    <definedName name="Z_9BA720D1_BA25_4C52_A40B_874BAF7D1762_.wvu.PrintArea" localSheetId="3" hidden="1">'Gas'!#REF!</definedName>
    <definedName name="Z_A3FBC4C2_6ECB_480C_89DD_35506B048870_.wvu.PrintArea" localSheetId="2" hidden="1">'Electric'!#REF!</definedName>
    <definedName name="Z_A74B7FED_837E_46BE_A86A_510E0683DF4F_.wvu.PrintArea" localSheetId="3" hidden="1">'Gas'!#REF!</definedName>
    <definedName name="Z_ACABE5FC_E604_45C9_ACB7_53C863CA19F6_.wvu.PrintArea" localSheetId="2" hidden="1">'Electric'!#REF!</definedName>
    <definedName name="Z_BA39091D_C7FC_45D0_82A3_5E4EAAFABA5A_.wvu.PrintArea" localSheetId="2" hidden="1">'Electric'!#REF!</definedName>
    <definedName name="Z_BBEC464C_25F9_4835_BB05_13062D5DEAC1_.wvu.PrintArea" localSheetId="2" hidden="1">'Electric'!#REF!</definedName>
    <definedName name="Z_BEBB2007_766E_4870_AB0B_58E56CB3F651_.wvu.PrintArea" localSheetId="3" hidden="1">'Gas'!#REF!</definedName>
    <definedName name="Z_C3CE34FF_D7D7_4ECF_B6E1_4700E3130E94_.wvu.PrintArea" localSheetId="2" hidden="1">'Electric'!#REF!</definedName>
    <definedName name="Z_CD5012F4_E6A6_495E_BF90_5F6D9EE7AF29_.wvu.PrintArea" localSheetId="2" hidden="1">'Electric'!#REF!</definedName>
    <definedName name="Z_D034A8AA_A968_4D12_B6AF_09F53E5CD513_.wvu.PrintArea" localSheetId="2" hidden="1">'Electric'!#REF!</definedName>
    <definedName name="Z_D358E58B_5EA6_4EB2_8562_4D9FEBA8EA54_.wvu.PrintArea" localSheetId="2" hidden="1">'Electric'!#REF!</definedName>
    <definedName name="Z_D564613F_7CF3_40DE_8CDA_0C25C1F35855_.wvu.PrintArea" localSheetId="2" hidden="1">'Electric'!#REF!</definedName>
    <definedName name="Z_DD70B4E1_CC64_4568_BFD6_83390A7B0268_.wvu.PrintArea" localSheetId="2" hidden="1">'Electric'!#REF!</definedName>
    <definedName name="Z_DF4E3B04_E442_43A1_A47D_E26F6CE7F11C_.wvu.PrintArea" localSheetId="2" hidden="1">'Electric'!#REF!</definedName>
    <definedName name="Z_DF51FD8A_8BA9_46B7_B455_DFD0D532E42D_.wvu.PrintArea" localSheetId="3" hidden="1">'Gas'!#REF!</definedName>
    <definedName name="Z_E2C26153_D457_4603_B564_60CFADB5026B_.wvu.PrintArea" localSheetId="2" hidden="1">'Electric'!#REF!</definedName>
    <definedName name="Z_E75FE358_FE2D_4487_BA5A_B5AB72EE82DF_.wvu.PrintArea" localSheetId="3" hidden="1">'Gas'!#REF!</definedName>
    <definedName name="Z_E98B4028_3602_46AA_8C00_41FD8ABF8836_.wvu.PrintArea" localSheetId="2" hidden="1">'Electric'!#REF!</definedName>
    <definedName name="Z_EDF3DC03_FBB9_4397_9335_6FA548B9B5CD_.wvu.PrintArea" localSheetId="2" hidden="1">'Electric'!#REF!</definedName>
    <definedName name="Z_F0C9B202_A28C_4D84_9483_9F8FC93D796D_.wvu.PrintArea" localSheetId="3" hidden="1">'Gas'!#REF!</definedName>
    <definedName name="Z_F531E925_9E0B_409C_9EAA_ADCDD51D6BA7_.wvu.PrintArea" localSheetId="2" hidden="1">'Electric'!#REF!</definedName>
    <definedName name="Z_F985D028_064A_46CA_9D34_E4E9B88A9B3C_.wvu.PrintArea" localSheetId="2" hidden="1">'Electric'!#REF!</definedName>
    <definedName name="Z_FEFCE477_944B_4DAC_AD75_686CC83D0F0B_.wvu.PrintArea" localSheetId="2" hidden="1">'Electric'!#REF!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<sst xmlns="http://schemas.openxmlformats.org/spreadsheetml/2006/main" count="763" uniqueCount="342">
  <si>
    <t xml:space="preserve"> </t>
  </si>
  <si>
    <t>PUGET SOUND ENERGY-ELECTRIC</t>
  </si>
  <si>
    <t>GOLDENDALE</t>
  </si>
  <si>
    <t>WHITEHORN</t>
  </si>
  <si>
    <t>BAD DEBTS</t>
  </si>
  <si>
    <t>CONVERSION FACTOR</t>
  </si>
  <si>
    <t>FOR THE TWELVE MONTHS ENDED SEPTEMBER 30, 2007</t>
  </si>
  <si>
    <t>RESULTS OF OPERATIONS</t>
  </si>
  <si>
    <t>GENERAL RATE INCREASE</t>
  </si>
  <si>
    <t>LINE</t>
  </si>
  <si>
    <t>ADJUSTED</t>
  </si>
  <si>
    <t>NO.</t>
  </si>
  <si>
    <t>DESCRIPTION</t>
  </si>
  <si>
    <t>TOTAL</t>
  </si>
  <si>
    <t>RATE</t>
  </si>
  <si>
    <t>REVISED</t>
  </si>
  <si>
    <t>D&amp;O</t>
  </si>
  <si>
    <t>DEPRECIATION</t>
  </si>
  <si>
    <t>Total</t>
  </si>
  <si>
    <t>INSURANCE</t>
  </si>
  <si>
    <t>ADJUSTMENTS</t>
  </si>
  <si>
    <t>RESULTS OF</t>
  </si>
  <si>
    <t>ANNUAL FILING FEE</t>
  </si>
  <si>
    <t>OPERATIONS</t>
  </si>
  <si>
    <t>OPERATING REVENUES:</t>
  </si>
  <si>
    <t>SUM OF TAXES OTHER</t>
  </si>
  <si>
    <t>SALES TO CUSTOMERS</t>
  </si>
  <si>
    <t>SALES FROM RESALE-FIRM</t>
  </si>
  <si>
    <t>TOTAL OPERATING REVENUES</t>
  </si>
  <si>
    <t>SALES TO OTHER UTILITIES</t>
  </si>
  <si>
    <t>OTHER OPERATING REVENUES</t>
  </si>
  <si>
    <t>FUEL</t>
  </si>
  <si>
    <t>PURCHASED AND INTERCHANGED</t>
  </si>
  <si>
    <t>OPERATING REVENUE DEDUCTIONS:</t>
  </si>
  <si>
    <t>POWER COSTS:</t>
  </si>
  <si>
    <t>WHEELING</t>
  </si>
  <si>
    <t>TOTAL PRODUCTION EXPENSES</t>
  </si>
  <si>
    <t>RESIDENTIAL EXCHANGE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</si>
  <si>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</si>
  <si>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</si>
  <si>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</si>
  <si>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</si>
  <si>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</si>
  <si>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</si>
  <si>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</si>
  <si>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</si>
  <si>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</si>
  <si>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</si>
  <si>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FAS 133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</si>
  <si>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</si>
  <si>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</si>
  <si>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</si>
  <si>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</si>
  <si>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</si>
  <si>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</si>
  <si>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 xml:space="preserve">PUGET SOUND ENERGY-GAS </t>
  </si>
  <si>
    <t>MUNICIPAL ADDITIONS</t>
  </si>
  <si>
    <t>GAS COSTS:</t>
  </si>
  <si>
    <t xml:space="preserve"> PURCHASED GAS</t>
  </si>
  <si>
    <t>AMORTIZATION OF PROPERTY LOSS</t>
  </si>
  <si>
    <t>COMPANY</t>
  </si>
  <si>
    <t>PSE RATE OF RETURN</t>
  </si>
  <si>
    <t>INCREMENTAL REVENUE REQUIREMENT</t>
  </si>
  <si>
    <t>Line</t>
  </si>
  <si>
    <t>Description</t>
  </si>
  <si>
    <t>Amount</t>
  </si>
  <si>
    <t>1/</t>
  </si>
  <si>
    <t>Tax Rate</t>
  </si>
  <si>
    <t>Tax Effect (L. 2 * L. 3)</t>
  </si>
  <si>
    <t>Adjustment - Post Tax (L. 2 + L. 4)</t>
  </si>
  <si>
    <t>Revenue Conversion Factor</t>
  </si>
  <si>
    <t>Revenue Requirement (L. 5 * L. 6)</t>
  </si>
  <si>
    <t>Sources:</t>
  </si>
  <si>
    <t>PUGET SOUND ENERGY</t>
  </si>
  <si>
    <t>TEST YEAR ENDING SEPTEMBER 30, 2007</t>
  </si>
  <si>
    <t>REMOVE AIRCRAFT EXPENSES</t>
  </si>
  <si>
    <t>Company Aircraft Flight Services Expense</t>
  </si>
  <si>
    <t>Aircraft Depreciation Expense</t>
  </si>
  <si>
    <t>Total Expense Adjustment - Pre Tax</t>
  </si>
  <si>
    <t>Tax Effect (L. 3 * L. 4)</t>
  </si>
  <si>
    <t>Allocation to</t>
  </si>
  <si>
    <t>Electric</t>
  </si>
  <si>
    <t>Gas</t>
  </si>
  <si>
    <t>CONVERSION FACTOR EXCLUDING FEDERAL INCOME TAX ( 1 - LINE 5)</t>
  </si>
  <si>
    <t>FEDERAL INCOME TAX ( LINE 7 * 35%)</t>
  </si>
  <si>
    <t>ELECTRIC</t>
  </si>
  <si>
    <t>GAS</t>
  </si>
  <si>
    <t>REVENUE CONVERSION FACTOR (1 / LINE 9)</t>
  </si>
  <si>
    <t>CONVERSION FACTOR EXCLUDING FEDERAL INCOME TAX ( 1 - LINE 14)</t>
  </si>
  <si>
    <t>FEDERAL INCOME TAX ( LINE 16 * 35%)</t>
  </si>
  <si>
    <t>REVENUE CONVERSION FACTOR (1 / LINE 18)</t>
  </si>
  <si>
    <t>2/</t>
  </si>
  <si>
    <t>Four-Factor Allocator</t>
  </si>
  <si>
    <t>Expense Adjustment</t>
  </si>
  <si>
    <t>Aircraft</t>
  </si>
  <si>
    <t>See PSE’s response to Public Counsel’s Data Request Nos. 321 and 577.  Total flight services expenses in rate case = $294,039 grand total from PC 321 plus $178,484 utility chargeback from PC 577.</t>
  </si>
  <si>
    <t>AIRCRAFT</t>
  </si>
  <si>
    <t>REMOVE AIRPORT PARKING EXPENSE</t>
  </si>
  <si>
    <t>Airport Parking Expense</t>
  </si>
  <si>
    <t>Total Expense Adjustment - Pre Tax  (L. 1 + L. 2)</t>
  </si>
  <si>
    <t>Adjustment - Post Tax (L. 3 + L. 5)</t>
  </si>
  <si>
    <t>Revenue Requirement (L. 6 * L. 7)</t>
  </si>
  <si>
    <t>See PSE’s Response to Public Counsel Data Request No. 433.</t>
  </si>
  <si>
    <t>AIRPORT</t>
  </si>
  <si>
    <t>PARKING</t>
  </si>
  <si>
    <t>REMOVE ATHLETIC EVENT EXPENSE</t>
  </si>
  <si>
    <t>Athletic Events Expense</t>
  </si>
  <si>
    <t>See PSE’s Response to Public Counsel Data Request No. 598.</t>
  </si>
  <si>
    <t>ATHLETIC</t>
  </si>
  <si>
    <t>EVENTS</t>
  </si>
  <si>
    <t>ADJUST DIRECTORS AND OFFICERS INSURANCE</t>
  </si>
  <si>
    <t>D&amp;O in Revenue Requirement</t>
  </si>
  <si>
    <t>12-Month Avg. No. of Customers allocator</t>
  </si>
  <si>
    <t>See 4.17E D&amp;O Insurance.xls and 4.12G D&amp;O Insurance.xls.</t>
  </si>
  <si>
    <t>3/</t>
  </si>
  <si>
    <t>Reflects AEGIS premiums set to 2006-2007 level.</t>
  </si>
  <si>
    <t>INFILL</t>
  </si>
  <si>
    <t>HOPKINS RIDGE</t>
  </si>
  <si>
    <t>REVERSE</t>
  </si>
  <si>
    <t>PSE</t>
  </si>
  <si>
    <t>Adjusted</t>
  </si>
  <si>
    <t>Operating Expense Adjustment</t>
  </si>
  <si>
    <t>Adjustment</t>
  </si>
  <si>
    <t>Rate Base Adjustment</t>
  </si>
  <si>
    <t>Plant Balance</t>
  </si>
  <si>
    <t>REMOVE SUPPLEMENTAL EXECUTIVE RETIREMENT PROGRAM</t>
  </si>
  <si>
    <t>SERP Expense</t>
  </si>
  <si>
    <t>SERP</t>
  </si>
  <si>
    <t>See 4.24E &amp; 4.17G Pension Plan.xls.</t>
  </si>
  <si>
    <t>Trustees' fees</t>
  </si>
  <si>
    <t>Registrar and Transfer agent fees</t>
  </si>
  <si>
    <t>Stockholder Meeting Expenses</t>
  </si>
  <si>
    <t>Directors' fees and expenses</t>
  </si>
  <si>
    <t>Publishing and distributing annual reports to stockholders expense</t>
  </si>
  <si>
    <t>Publishing and distributing information to stockholders expense</t>
  </si>
  <si>
    <t>Total Expenses Related to Shareholders</t>
  </si>
  <si>
    <t>REMOVE EXPENSES ASSOCIATED WITH PUBLIC COMPANY STATUS</t>
  </si>
  <si>
    <t>Common</t>
  </si>
  <si>
    <t>Amount To</t>
  </si>
  <si>
    <t>Be Removed</t>
  </si>
  <si>
    <t>2/, 3/</t>
  </si>
  <si>
    <t>Tax Effect (L. 8 * L. 9)</t>
  </si>
  <si>
    <t>Adjustment - Post Tax (L. 8 + L. 10)</t>
  </si>
  <si>
    <t>Revenue Requirement (L. 11 * L. 12)</t>
  </si>
  <si>
    <t>See response to WUTC DR 026.</t>
  </si>
  <si>
    <t>See response to PC DR 382.</t>
  </si>
  <si>
    <t>SHAREHOLDER</t>
  </si>
  <si>
    <t>EXPENSES</t>
  </si>
  <si>
    <t>REMOVE INCENTIVE PAY</t>
  </si>
  <si>
    <t>Purchased Power</t>
  </si>
  <si>
    <t>Other Power Supply</t>
  </si>
  <si>
    <t>Transmission</t>
  </si>
  <si>
    <t>Distribution</t>
  </si>
  <si>
    <t>Customer Accounts</t>
  </si>
  <si>
    <t>Customer Service</t>
  </si>
  <si>
    <t>Sales</t>
  </si>
  <si>
    <t>Admin. &amp; General</t>
  </si>
  <si>
    <t>Associated payroll taxes</t>
  </si>
  <si>
    <t>Total Incentive Pay</t>
  </si>
  <si>
    <t>Production Manuf. Gas</t>
  </si>
  <si>
    <t>Other Gas Supply</t>
  </si>
  <si>
    <t>Storage, LNG T&amp;G</t>
  </si>
  <si>
    <t>Electric  1/</t>
  </si>
  <si>
    <t>Gas  2/</t>
  </si>
  <si>
    <t xml:space="preserve">Total Expenses </t>
  </si>
  <si>
    <t>Tax Effect (L. 15 * L. 16)</t>
  </si>
  <si>
    <t>Adjustment - Post Tax (L. 15+ L. 17)</t>
  </si>
  <si>
    <t>Revenue Requirement (L. 18 * L. 19)</t>
  </si>
  <si>
    <t>INCENTIVE</t>
  </si>
  <si>
    <t>PAY</t>
  </si>
  <si>
    <t>EVERETT DELTA</t>
  </si>
  <si>
    <t>LEASE</t>
  </si>
  <si>
    <t>KING</t>
  </si>
  <si>
    <t>HOPKINS RIDGE INFILL PROJECT DEPRECIATION RATE ADJUSTMENT</t>
  </si>
  <si>
    <t>2/  4.06E Hopkins Ridge Infill (C).xls reflecting King depreciation rate recommendation instead of PSE proposed rate.</t>
  </si>
  <si>
    <t>1/  4.06E Hopkins Ridge Infill (C).xls</t>
  </si>
  <si>
    <t>WILD HORSE WIND PLANT DEPRECIATION RATE ADJUSTMENT</t>
  </si>
  <si>
    <t>1/  11.07E Wild Horse.xls</t>
  </si>
  <si>
    <t>2/  11.07E Wild Horse.xls reflecting King depreciation rate recommendation instead of PSE proposed rate.</t>
  </si>
  <si>
    <t>Accumulated Depreciation</t>
  </si>
  <si>
    <t>Deferred Income Tax Liability</t>
  </si>
  <si>
    <t>Net Rate Base Adjustment</t>
  </si>
  <si>
    <t>Depreciation Expense</t>
  </si>
  <si>
    <t>Adjustment - Post Tax (L. 3+ L. 5)</t>
  </si>
  <si>
    <t>Amount  1/</t>
  </si>
  <si>
    <t>Amount  2/</t>
  </si>
  <si>
    <t>Deferred Tax Asset</t>
  </si>
  <si>
    <t>Deferred Tax Liability</t>
  </si>
  <si>
    <t>ADJUST EXECUTIVE COMPENSATION</t>
  </si>
  <si>
    <t>Included In</t>
  </si>
  <si>
    <t>%</t>
  </si>
  <si>
    <t>Revenue Req.</t>
  </si>
  <si>
    <t>Removed</t>
  </si>
  <si>
    <t>Reynolds</t>
  </si>
  <si>
    <t>Valdman</t>
  </si>
  <si>
    <t>O'Connor</t>
  </si>
  <si>
    <t xml:space="preserve">Markell </t>
  </si>
  <si>
    <t>Harris</t>
  </si>
  <si>
    <t>Bussey</t>
  </si>
  <si>
    <t>Total Executive Salary Reduction - A&amp;G</t>
  </si>
  <si>
    <t>See PSE response to PC 528</t>
  </si>
  <si>
    <t>Calculated using "COGNOS Sal by Emp" tab of "11.25E &amp; 9.18G Wage Increase.xls" - increased O&amp;M portion by 4.79% (overall effective increase for salaried employees).</t>
  </si>
  <si>
    <t>Allocated based on total O&amp;M allocation shown on "Sumry RY O&amp;M Sal" tab of "11.25E &amp; 9.18G Wage Increase.xls"</t>
  </si>
  <si>
    <t>EXECUTIVE</t>
  </si>
  <si>
    <t>COMPENSATION</t>
  </si>
  <si>
    <t xml:space="preserve">Total Expense Adjustment - Pre Tax </t>
  </si>
  <si>
    <t>COR</t>
  </si>
  <si>
    <t>RECLASSIFY</t>
  </si>
  <si>
    <t>REG. LIAB.</t>
  </si>
  <si>
    <t>FEDERAL</t>
  </si>
  <si>
    <t>INCOME</t>
  </si>
  <si>
    <t>TAXES</t>
  </si>
  <si>
    <t>REVENUE CONVERSION FACTOR</t>
  </si>
  <si>
    <t xml:space="preserve">STORM </t>
  </si>
  <si>
    <t>MISC.</t>
  </si>
  <si>
    <t>INTEREST</t>
  </si>
  <si>
    <t>DAMAGES</t>
  </si>
  <si>
    <t>SYNC.</t>
  </si>
  <si>
    <t>INCOME TAX</t>
  </si>
  <si>
    <t>SYNCH.</t>
  </si>
  <si>
    <t>WILD HORSE</t>
  </si>
  <si>
    <t>KING DEPRECIATION ADJUSTMENT</t>
  </si>
  <si>
    <t>Operating Expense Adjustment - Electric</t>
  </si>
  <si>
    <t>Depreciation Expense - Electric</t>
  </si>
  <si>
    <t>Depreciation Expense - Gas</t>
  </si>
  <si>
    <t>Adj. to Accum. Deprec. @ 50% of Dep. Exp. (L. 3)</t>
  </si>
  <si>
    <t>11.33E Depreciation Study.xls and 9.06G Depreciation Study.xls</t>
  </si>
  <si>
    <t>Exhibits__(CWK-4) and (CWK-5)</t>
  </si>
  <si>
    <t>Tax set to zero per PSE response to PC DR 669.</t>
  </si>
  <si>
    <t>MISCELLANEOUS OPERATING EXPENSE INTEREST AMORTIZATION</t>
  </si>
  <si>
    <t>Amort. of Interest Associated With Deferral Of Unrecovered Residential Exchange Benefits Credited To Customers ( WUTC Doc # Ue-071024)</t>
  </si>
  <si>
    <t>PSE Two-year Rate Year Amortization</t>
  </si>
  <si>
    <t>Total Expense   1/</t>
  </si>
  <si>
    <t>Tax Effect (L. 4 * L. 5)</t>
  </si>
  <si>
    <t>Adjustment - Post Tax (L. 4 + L. 6)</t>
  </si>
  <si>
    <t>Revenue Requirement (L. 7 * L. 8)</t>
  </si>
  <si>
    <t xml:space="preserve">1/  </t>
  </si>
  <si>
    <t>11.14E Miscellaneous Operating Expense (C).xls</t>
  </si>
  <si>
    <t>Source:</t>
  </si>
  <si>
    <t>PC</t>
  </si>
  <si>
    <t>PC Seven Year Amortization</t>
  </si>
  <si>
    <t>Difference - PC Adjustment - Pre Tax</t>
  </si>
  <si>
    <t>PC Recommended D&amp;O</t>
  </si>
  <si>
    <t>RATE BASE</t>
  </si>
  <si>
    <t>Rate Base</t>
  </si>
  <si>
    <t>Deductible CWIP</t>
  </si>
  <si>
    <t>Net Rate Base</t>
  </si>
  <si>
    <t>Weighted Cost of Debt</t>
  </si>
  <si>
    <t>Interest Charged to Expense in Test Year</t>
  </si>
  <si>
    <t>Difference - PC Adjustment to Income Tax</t>
  </si>
  <si>
    <t>INTEREST SYNCHRONIZATION</t>
  </si>
  <si>
    <t>Proforma Interest (L. 3 * L. 4)</t>
  </si>
  <si>
    <t>Change to Income (L. 6 - L. 5)</t>
  </si>
  <si>
    <t>Tax Effect (L. 7 * L. 8)</t>
  </si>
  <si>
    <t>PSE  1/</t>
  </si>
  <si>
    <t>11.05E &amp; 9.05G Tax Benefit of Proforma Interest.xls</t>
  </si>
  <si>
    <t>Taxable Income</t>
  </si>
  <si>
    <t>Currently Payable</t>
  </si>
  <si>
    <t>Deferred FIT - Debit</t>
  </si>
  <si>
    <t>Deferred FIT - Credit</t>
  </si>
  <si>
    <t>Additional Deferred Credits</t>
  </si>
  <si>
    <t>Total Restated FIT</t>
  </si>
  <si>
    <t>FIT Tax Rate</t>
  </si>
  <si>
    <t>FIT Per Books:</t>
  </si>
  <si>
    <t>Deferred FIT - Inv. Tax Credit, Net of Amort.</t>
  </si>
  <si>
    <t>Total Charged to Expense</t>
  </si>
  <si>
    <t>PC 2/</t>
  </si>
  <si>
    <t>PC Adjustment - FIT</t>
  </si>
  <si>
    <t>PC Adjustment - Deferred FIT</t>
  </si>
  <si>
    <t>Currently Payable (L. 1 * L. 2)</t>
  </si>
  <si>
    <t>Change in FIT (L. 3 - L. 8)</t>
  </si>
  <si>
    <t>Change in Deferred FIT (Ls. 4-6  - Ls. 9-11)</t>
  </si>
  <si>
    <t>Change in NOI (L. 13 + L. 14)</t>
  </si>
  <si>
    <t>11.04E Income Tax.xls and 4.04G Income Tax.xls</t>
  </si>
  <si>
    <t>11.04E Income Tax.xls and 4.04G Income Tax.xls, adjusted for PC tax rate.  Electric also adjusted per Majoros testimony.</t>
  </si>
  <si>
    <t>FEDERAL INCOME TAX</t>
  </si>
  <si>
    <t>Forecast</t>
  </si>
  <si>
    <t>No.</t>
  </si>
  <si>
    <t>Rev Req</t>
  </si>
  <si>
    <t>Difference</t>
  </si>
  <si>
    <t>(a)</t>
  </si>
  <si>
    <t>(b)</t>
  </si>
  <si>
    <t>(c)=(b)-(a)</t>
  </si>
  <si>
    <t>FORECASTED OPERATING INCOME AT CURRENT RATES</t>
  </si>
  <si>
    <t>EARNED RATE OF RETURN</t>
  </si>
  <si>
    <t>RATE OF RETURN</t>
  </si>
  <si>
    <t>REQUIRED OPERATING INCOME</t>
  </si>
  <si>
    <t>OPERATING INCOME DEFICIENCY</t>
  </si>
  <si>
    <t>GROSS REVENUE CONVERSION FACTOR</t>
  </si>
  <si>
    <t>REVENUE DEFICIENCY</t>
  </si>
  <si>
    <t>COMPARATIVE OVERALL FINANCIAL SUMMARY - ELECTRIC</t>
  </si>
  <si>
    <t>COMPARATIVE OVERALL FINANCIAL SUMMARY - GAS</t>
  </si>
  <si>
    <t xml:space="preserve">OPERATIONS </t>
  </si>
  <si>
    <t>PC RECOMMENDATIONS</t>
  </si>
  <si>
    <t>PC ADJUSTMENTS</t>
  </si>
  <si>
    <t>Total Adjustment to FIT (L. 16 + L. 18)</t>
  </si>
  <si>
    <t>Total PSE tax adjustments</t>
  </si>
  <si>
    <t>Change in FIT Adj. (L. 13)</t>
  </si>
  <si>
    <t>Total effect of incremental adjustments</t>
  </si>
  <si>
    <t>Adjust to 30.67% (30.67% / 35%)</t>
  </si>
  <si>
    <t>PC Adjustment to reduce incremental adjustment taxes to 30.67%   3/</t>
  </si>
  <si>
    <t xml:space="preserve">    PSE RATE OF RETURN</t>
  </si>
  <si>
    <t xml:space="preserve">   PC RECOMMENDED RATE OF RETURN</t>
  </si>
  <si>
    <t>PC RECOMMENDED RATE OF RETURN</t>
  </si>
  <si>
    <t>RATE BASE NOI EFFECT</t>
  </si>
  <si>
    <t>Total Adj. to Rate Base</t>
  </si>
  <si>
    <t>COR REGULATORY LIABILITY RECLASSIFICATION</t>
  </si>
  <si>
    <t>Plant in Service</t>
  </si>
  <si>
    <t xml:space="preserve">Other Regulatory Liabilities </t>
  </si>
  <si>
    <t>Net Rate Base Effect</t>
  </si>
  <si>
    <t>Reclass.</t>
  </si>
  <si>
    <t>10.03 &amp; 8.04 WC-RB Rate Base.xls</t>
  </si>
  <si>
    <t>Storm Damage Expense</t>
  </si>
  <si>
    <t>Disallow 5% 12/31/06 Windstorm</t>
  </si>
  <si>
    <t>Amortization of Cost of Removal Reg. Liability</t>
  </si>
  <si>
    <t>Net Effect</t>
  </si>
  <si>
    <t>Rate Base Effect</t>
  </si>
  <si>
    <t>Amount Charged to Expense Year Ended 9/30/07</t>
  </si>
  <si>
    <t>Decrease in Operating Expense</t>
  </si>
  <si>
    <t>Catastrophic Storm Amortization</t>
  </si>
  <si>
    <t>Net Catastrophic Storm Amortization</t>
  </si>
  <si>
    <t>Total Increase in Operating Expense (L. 3 + L. 6)</t>
  </si>
  <si>
    <t>Average Reduction to COR Reg. Liab. (L. 8 * .5)</t>
  </si>
  <si>
    <t>STORM DAMAGES</t>
  </si>
  <si>
    <t>PC ADJUSTMENT NOS.  1(E) AND 1(G)</t>
  </si>
  <si>
    <t>PC ADJUSTMENT NO. 4(E)</t>
  </si>
  <si>
    <t>PC ADJUSTMENT NO. 5(E)</t>
  </si>
  <si>
    <t>PC ADJUSTMENT NO. 6(E)</t>
  </si>
  <si>
    <t xml:space="preserve">PC ADJUSTMENT NOS. 7(E) AND 3(G) </t>
  </si>
  <si>
    <t>PC ADJUSTMENT NO. 8(E)</t>
  </si>
  <si>
    <t>PC ADJUSTMENT NOS. 9(E) AND 4(G)</t>
  </si>
  <si>
    <t>PC ADJUSTMENT NOS. 10(E) AND 5(G)</t>
  </si>
  <si>
    <t>PC ADJUSTMENT NOS. 11(E) AND 6(G)</t>
  </si>
  <si>
    <t>PC ADJUSTMENT NOS. 12(E) AND 7(G)</t>
  </si>
  <si>
    <t>PC ADJUSTMENT NOS. 13(E) AND 8(G)</t>
  </si>
  <si>
    <t>PC ADJUSTMENT NOS. 14(E) AND 9(G)</t>
  </si>
  <si>
    <t>PC ADJUSTMENT NOS. 15(E) AND 10(G)</t>
  </si>
  <si>
    <t>PC ADJUSTMENT NOS. 16(E) AND 11(G)</t>
  </si>
  <si>
    <t>PC ADJUSTMENT NOS. 17(E) AND 12(G)</t>
  </si>
  <si>
    <t>PC ADJUSTMENT NOS. 18(E) AND 13(G)</t>
  </si>
  <si>
    <t>Exhibit___(JHS-11)</t>
  </si>
  <si>
    <t>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</si>
</sst>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_(&quot;$&quot;* #,##0.000000_);_(&quot;$&quot;* \(#,##0.000000\);_(&quot;$&quot;* &quot;-&quot;??????_);_(@_)"/>
    <numFmt numFmtId="171" formatCode="0.000000"/>
    <numFmt numFmtId="172" formatCode="_(* #,##0.0_);_(* \(#,##0.0\);_(* &quot;-&quot;_);_(@_)"/>
    <numFmt numFmtId="173" formatCode="_(* ###0_);_(* \(###0\);_(* &quot;-&quot;_);_(@_)"/>
    <numFmt numFmtId="174" formatCode="d\.mmm\.yy"/>
    <numFmt numFmtId="175" formatCode="#,##0.0000000"/>
    <numFmt numFmtId="176" formatCode="#,##0.00000"/>
    <numFmt numFmtId="177" formatCode="#."/>
    <numFmt numFmtId="178" formatCode="_(&quot;$&quot;* #,##0.0000_);_(&quot;$&quot;* \(#,##0.0000\);_(&quot;$&quot;* &quot;-&quot;????_);_(@_)"/>
    <numFmt numFmtId="179" formatCode="&quot;$&quot;#,##0.00"/>
    <numFmt numFmtId="180" formatCode="_(&quot;$&quot;* #,##0.0000_);_(&quot;$&quot;* \(#,##0.0000\);_(&quot;$&quot;* &quot;-&quot;??_);_(@_)"/>
    <numFmt numFmtId="181" formatCode="0.00000"/>
    <numFmt numFmtId="182" formatCode="#,##0.0000000_);\(#,##0.0000000\)"/>
  </numFmts>
  <fonts count="57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u val="singleAccounting"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name val="Times New Roman"/>
      <family val="1"/>
    </font>
    <font>
      <b/>
      <sz val="8"/>
      <name val="Helv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84">
    <xf numFmtId="171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>
      <alignment horizontal="left" wrapText="1"/>
      <protection/>
    </xf>
    <xf numFmtId="169" fontId="4" fillId="0" borderId="0">
      <alignment horizontal="left" wrapText="1"/>
      <protection/>
    </xf>
    <xf numFmtId="165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71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0" fontId="50" fillId="0" borderId="0">
      <alignment/>
      <protection/>
    </xf>
    <xf numFmtId="169" fontId="4" fillId="0" borderId="0">
      <alignment horizontal="left" wrapText="1"/>
      <protection/>
    </xf>
    <xf numFmtId="171" fontId="4" fillId="0" borderId="0">
      <alignment horizontal="left" wrapText="1"/>
      <protection/>
    </xf>
    <xf numFmtId="169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0" fontId="5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174" fontId="5" fillId="0" borderId="0" applyFill="0" applyBorder="0" applyAlignment="0">
      <protection/>
    </xf>
    <xf numFmtId="41" fontId="4" fillId="20" borderId="0">
      <alignment/>
      <protection/>
    </xf>
    <xf numFmtId="0" fontId="38" fillId="21" borderId="1" applyNumberFormat="0" applyAlignment="0" applyProtection="0"/>
    <xf numFmtId="41" fontId="4" fillId="22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7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4" fillId="0" borderId="0">
      <alignment/>
      <protection/>
    </xf>
    <xf numFmtId="0" fontId="3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40" fillId="4" borderId="0" applyNumberFormat="0" applyBorder="0" applyAlignment="0" applyProtection="0"/>
    <xf numFmtId="38" fontId="14" fillId="22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0" fontId="42" fillId="7" borderId="5" applyNumberFormat="0" applyAlignment="0" applyProtection="0"/>
    <xf numFmtId="10" fontId="14" fillId="20" borderId="6" applyNumberFormat="0" applyBorder="0" applyAlignment="0" applyProtection="0"/>
    <xf numFmtId="41" fontId="18" fillId="23" borderId="7">
      <alignment horizontal="left"/>
      <protection locked="0"/>
    </xf>
    <xf numFmtId="10" fontId="18" fillId="23" borderId="7">
      <alignment horizontal="right"/>
      <protection locked="0"/>
    </xf>
    <xf numFmtId="0" fontId="14" fillId="22" borderId="0">
      <alignment/>
      <protection/>
    </xf>
    <xf numFmtId="3" fontId="19" fillId="0" borderId="0" applyFill="0" applyBorder="0" applyAlignment="0" applyProtection="0"/>
    <xf numFmtId="0" fontId="43" fillId="0" borderId="8" applyNumberFormat="0" applyFill="0" applyAlignment="0" applyProtection="0"/>
    <xf numFmtId="44" fontId="20" fillId="0" borderId="9" applyNumberFormat="0" applyFont="0" applyAlignment="0">
      <protection/>
    </xf>
    <xf numFmtId="44" fontId="20" fillId="0" borderId="10" applyNumberFormat="0" applyFont="0" applyAlignment="0">
      <protection/>
    </xf>
    <xf numFmtId="0" fontId="44" fillId="23" borderId="0" applyNumberFormat="0" applyBorder="0" applyAlignment="0" applyProtection="0"/>
    <xf numFmtId="37" fontId="21" fillId="0" borderId="0">
      <alignment/>
      <protection/>
    </xf>
    <xf numFmtId="17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4" borderId="11" applyNumberFormat="0" applyFont="0" applyAlignment="0" applyProtection="0"/>
    <xf numFmtId="0" fontId="46" fillId="22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25" borderId="7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3">
      <alignment horizontal="center"/>
      <protection/>
    </xf>
    <xf numFmtId="3" fontId="22" fillId="0" borderId="0" applyFont="0" applyFill="0" applyBorder="0" applyAlignment="0" applyProtection="0"/>
    <xf numFmtId="0" fontId="22" fillId="26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0" borderId="0">
      <alignment/>
      <protection/>
    </xf>
    <xf numFmtId="42" fontId="4" fillId="20" borderId="14">
      <alignment vertical="center"/>
      <protection/>
    </xf>
    <xf numFmtId="0" fontId="20" fillId="20" borderId="15" applyNumberFormat="0">
      <alignment horizontal="center" vertical="center" wrapText="1"/>
      <protection/>
    </xf>
    <xf numFmtId="10" fontId="4" fillId="20" borderId="0">
      <alignment/>
      <protection/>
    </xf>
    <xf numFmtId="178" fontId="4" fillId="20" borderId="0">
      <alignment/>
      <protection/>
    </xf>
    <xf numFmtId="167" fontId="16" fillId="0" borderId="0" applyBorder="0" applyAlignment="0">
      <protection/>
    </xf>
    <xf numFmtId="42" fontId="4" fillId="20" borderId="16">
      <alignment horizontal="left"/>
      <protection/>
    </xf>
    <xf numFmtId="178" fontId="26" fillId="20" borderId="16">
      <alignment horizontal="left"/>
      <protection/>
    </xf>
    <xf numFmtId="14" fontId="0" fillId="0" borderId="0" applyNumberFormat="0" applyFill="0" applyBorder="0" applyAlignment="0" applyProtection="0"/>
    <xf numFmtId="172" fontId="4" fillId="0" borderId="0" applyFont="0" applyFill="0" applyAlignment="0">
      <protection/>
    </xf>
    <xf numFmtId="4" fontId="52" fillId="23" borderId="12" applyNumberFormat="0" applyProtection="0">
      <alignment vertical="center"/>
    </xf>
    <xf numFmtId="4" fontId="52" fillId="23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4" fontId="53" fillId="27" borderId="12" applyNumberFormat="0" applyProtection="0">
      <alignment horizontal="left" vertical="center" indent="1"/>
    </xf>
    <xf numFmtId="4" fontId="52" fillId="28" borderId="17" applyNumberFormat="0" applyProtection="0">
      <alignment horizontal="left" vertical="center" indent="1"/>
    </xf>
    <xf numFmtId="4" fontId="52" fillId="28" borderId="12" applyNumberFormat="0" applyProtection="0">
      <alignment horizontal="left" vertical="center" indent="1"/>
    </xf>
    <xf numFmtId="4" fontId="52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52" fillId="28" borderId="12" applyNumberFormat="0" applyProtection="0">
      <alignment horizontal="right" vertical="center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54" fillId="0" borderId="0">
      <alignment/>
      <protection/>
    </xf>
    <xf numFmtId="39" fontId="4" fillId="30" borderId="0">
      <alignment/>
      <protection/>
    </xf>
    <xf numFmtId="38" fontId="14" fillId="0" borderId="18">
      <alignment/>
      <protection/>
    </xf>
    <xf numFmtId="38" fontId="16" fillId="0" borderId="16">
      <alignment/>
      <protection/>
    </xf>
    <xf numFmtId="39" fontId="0" fillId="31" borderId="0">
      <alignment/>
      <protection/>
    </xf>
    <xf numFmtId="171" fontId="4" fillId="0" borderId="0">
      <alignment horizontal="left" wrapText="1"/>
      <protection/>
    </xf>
    <xf numFmtId="40" fontId="27" fillId="0" borderId="0" applyBorder="0">
      <alignment horizontal="right"/>
      <protection/>
    </xf>
    <xf numFmtId="41" fontId="28" fillId="20" borderId="0">
      <alignment horizontal="left"/>
      <protection/>
    </xf>
    <xf numFmtId="0" fontId="47" fillId="0" borderId="0" applyNumberFormat="0" applyFill="0" applyBorder="0" applyAlignment="0" applyProtection="0"/>
    <xf numFmtId="179" fontId="29" fillId="20" borderId="0">
      <alignment horizontal="left" vertical="center"/>
      <protection/>
    </xf>
    <xf numFmtId="0" fontId="20" fillId="20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9" applyNumberFormat="0" applyFont="0" applyFill="0" applyAlignment="0" applyProtection="0"/>
    <xf numFmtId="0" fontId="9" fillId="0" borderId="20">
      <alignment/>
      <protection/>
    </xf>
    <xf numFmtId="0" fontId="48" fillId="0" borderId="0" applyNumberFormat="0" applyFill="0" applyBorder="0" applyAlignment="0" applyProtection="0"/>
  </cellStyleXfs>
  <cellXfs count="309">
    <xf numFmtId="0" fontId="0" fillId="0" borderId="0" xfId="0" applyNumberFormat="1" applyAlignment="1">
      <alignment/>
    </xf>
    <xf numFmtId="0" fontId="32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 applyProtection="1">
      <alignment horizontal="centerContinuous"/>
      <protection locked="0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2" fillId="0" borderId="15" xfId="0" applyNumberFormat="1" applyFont="1" applyFill="1" applyBorder="1" applyAlignment="1">
      <alignment/>
    </xf>
    <xf numFmtId="0" fontId="32" fillId="0" borderId="15" xfId="0" applyNumberFormat="1" applyFont="1" applyFill="1" applyBorder="1" applyAlignment="1">
      <alignment horizontal="center"/>
    </xf>
    <xf numFmtId="0" fontId="32" fillId="0" borderId="15" xfId="0" applyNumberFormat="1" applyFont="1" applyFill="1" applyBorder="1" applyAlignment="1" applyProtection="1">
      <alignment/>
      <protection locked="0"/>
    </xf>
    <xf numFmtId="0" fontId="31" fillId="0" borderId="15" xfId="0" applyNumberFormat="1" applyFont="1" applyFill="1" applyBorder="1" applyAlignment="1">
      <alignment/>
    </xf>
    <xf numFmtId="0" fontId="31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Alignment="1">
      <alignment/>
    </xf>
    <xf numFmtId="42" fontId="31" fillId="0" borderId="0" xfId="0" applyNumberFormat="1" applyFont="1" applyFill="1" applyBorder="1" applyAlignment="1">
      <alignment/>
    </xf>
    <xf numFmtId="42" fontId="31" fillId="0" borderId="0" xfId="0" applyNumberFormat="1" applyFont="1" applyFill="1" applyAlignment="1" applyProtection="1">
      <alignment/>
      <protection locked="0"/>
    </xf>
    <xf numFmtId="42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>
      <alignment horizontal="left"/>
    </xf>
    <xf numFmtId="0" fontId="31" fillId="0" borderId="15" xfId="0" applyNumberFormat="1" applyFont="1" applyFill="1" applyBorder="1" applyAlignment="1">
      <alignment horizontal="center"/>
    </xf>
    <xf numFmtId="165" fontId="33" fillId="0" borderId="0" xfId="0" applyNumberFormat="1" applyFont="1" applyFill="1" applyAlignment="1">
      <alignment/>
    </xf>
    <xf numFmtId="165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 quotePrefix="1">
      <alignment horizontal="left"/>
    </xf>
    <xf numFmtId="165" fontId="33" fillId="0" borderId="15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41" fontId="31" fillId="0" borderId="15" xfId="70" applyNumberFormat="1" applyFont="1" applyFill="1" applyBorder="1" applyAlignment="1">
      <alignment/>
    </xf>
    <xf numFmtId="41" fontId="31" fillId="0" borderId="0" xfId="0" applyNumberFormat="1" applyFont="1" applyFill="1" applyAlignment="1">
      <alignment horizontal="right"/>
    </xf>
    <xf numFmtId="10" fontId="31" fillId="0" borderId="0" xfId="0" applyNumberFormat="1" applyFont="1" applyFill="1" applyAlignment="1">
      <alignment/>
    </xf>
    <xf numFmtId="9" fontId="31" fillId="0" borderId="0" xfId="0" applyNumberFormat="1" applyFont="1" applyFill="1" applyAlignment="1">
      <alignment/>
    </xf>
    <xf numFmtId="167" fontId="31" fillId="0" borderId="0" xfId="0" applyNumberFormat="1" applyFont="1" applyFill="1" applyAlignment="1" applyProtection="1">
      <alignment/>
      <protection locked="0"/>
    </xf>
    <xf numFmtId="167" fontId="31" fillId="0" borderId="0" xfId="0" applyNumberFormat="1" applyFont="1" applyFill="1" applyBorder="1" applyAlignment="1">
      <alignment/>
    </xf>
    <xf numFmtId="167" fontId="31" fillId="0" borderId="15" xfId="0" applyNumberFormat="1" applyFont="1" applyFill="1" applyBorder="1" applyAlignment="1" applyProtection="1">
      <alignment/>
      <protection locked="0"/>
    </xf>
    <xf numFmtId="165" fontId="33" fillId="0" borderId="6" xfId="0" applyNumberFormat="1" applyFont="1" applyFill="1" applyBorder="1" applyAlignment="1" applyProtection="1">
      <alignment/>
      <protection locked="0"/>
    </xf>
    <xf numFmtId="167" fontId="31" fillId="0" borderId="0" xfId="0" applyNumberFormat="1" applyFont="1" applyFill="1" applyAlignment="1">
      <alignment/>
    </xf>
    <xf numFmtId="42" fontId="31" fillId="0" borderId="0" xfId="88" applyNumberFormat="1" applyFont="1" applyFill="1" applyBorder="1" applyAlignment="1">
      <alignment/>
    </xf>
    <xf numFmtId="10" fontId="31" fillId="0" borderId="0" xfId="0" applyNumberFormat="1" applyFont="1" applyFill="1" applyBorder="1" applyAlignment="1">
      <alignment/>
    </xf>
    <xf numFmtId="167" fontId="31" fillId="0" borderId="0" xfId="0" applyNumberFormat="1" applyFont="1" applyFill="1" applyBorder="1" applyAlignment="1" applyProtection="1">
      <alignment/>
      <protection locked="0"/>
    </xf>
    <xf numFmtId="42" fontId="31" fillId="0" borderId="16" xfId="0" applyNumberFormat="1" applyFont="1" applyFill="1" applyBorder="1" applyAlignment="1">
      <alignment/>
    </xf>
    <xf numFmtId="42" fontId="31" fillId="0" borderId="0" xfId="0" applyNumberFormat="1" applyFont="1" applyFill="1" applyAlignment="1">
      <alignment horizontal="left"/>
    </xf>
    <xf numFmtId="42" fontId="31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Alignment="1">
      <alignment horizontal="left"/>
    </xf>
    <xf numFmtId="42" fontId="31" fillId="0" borderId="0" xfId="88" applyNumberFormat="1" applyFont="1" applyFill="1" applyAlignment="1" applyProtection="1">
      <alignment/>
      <protection locked="0"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Alignment="1">
      <alignment/>
    </xf>
    <xf numFmtId="42" fontId="31" fillId="0" borderId="0" xfId="88" applyNumberFormat="1" applyFont="1" applyFill="1" applyAlignment="1">
      <alignment horizontal="right"/>
    </xf>
    <xf numFmtId="42" fontId="31" fillId="0" borderId="0" xfId="0" applyNumberFormat="1" applyFont="1" applyFill="1" applyAlignment="1">
      <alignment/>
    </xf>
    <xf numFmtId="42" fontId="31" fillId="0" borderId="0" xfId="88" applyNumberFormat="1" applyFont="1" applyFill="1" applyBorder="1" applyAlignment="1" applyProtection="1">
      <alignment/>
      <protection locked="0"/>
    </xf>
    <xf numFmtId="41" fontId="31" fillId="0" borderId="15" xfId="0" applyNumberFormat="1" applyFont="1" applyFill="1" applyBorder="1" applyAlignment="1">
      <alignment horizontal="right"/>
    </xf>
    <xf numFmtId="41" fontId="31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vertical="top"/>
    </xf>
    <xf numFmtId="0" fontId="31" fillId="0" borderId="0" xfId="0" applyNumberFormat="1" applyFont="1" applyFill="1" applyAlignment="1">
      <alignment vertical="center"/>
    </xf>
    <xf numFmtId="41" fontId="31" fillId="0" borderId="0" xfId="88" applyNumberFormat="1" applyFont="1" applyFill="1" applyAlignment="1">
      <alignment horizontal="right"/>
    </xf>
    <xf numFmtId="166" fontId="31" fillId="0" borderId="0" xfId="0" applyNumberFormat="1" applyFont="1" applyFill="1" applyAlignment="1">
      <alignment vertical="top"/>
    </xf>
    <xf numFmtId="0" fontId="31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center"/>
    </xf>
    <xf numFmtId="166" fontId="31" fillId="0" borderId="0" xfId="0" applyNumberFormat="1" applyFont="1" applyFill="1" applyBorder="1" applyAlignment="1">
      <alignment vertical="top"/>
    </xf>
    <xf numFmtId="180" fontId="3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68" fontId="4" fillId="0" borderId="0" xfId="88" applyNumberFormat="1" applyFont="1" applyFill="1" applyAlignment="1">
      <alignment/>
    </xf>
    <xf numFmtId="168" fontId="4" fillId="0" borderId="0" xfId="88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9" fontId="31" fillId="0" borderId="0" xfId="0" applyNumberFormat="1" applyFont="1" applyFill="1" applyBorder="1" applyAlignment="1">
      <alignment horizontal="center"/>
    </xf>
    <xf numFmtId="168" fontId="4" fillId="0" borderId="0" xfId="88" applyNumberFormat="1" applyFont="1" applyFill="1" applyBorder="1" applyAlignment="1">
      <alignment/>
    </xf>
    <xf numFmtId="167" fontId="31" fillId="0" borderId="0" xfId="0" applyNumberFormat="1" applyFont="1" applyFill="1" applyBorder="1" applyAlignment="1">
      <alignment horizontal="left"/>
    </xf>
    <xf numFmtId="171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68" fontId="4" fillId="0" borderId="0" xfId="88" applyNumberFormat="1" applyFont="1" applyFill="1" applyBorder="1" applyAlignment="1">
      <alignment/>
    </xf>
    <xf numFmtId="41" fontId="31" fillId="0" borderId="0" xfId="88" applyNumberFormat="1" applyFont="1" applyFill="1" applyBorder="1" applyAlignment="1">
      <alignment horizontal="right"/>
    </xf>
    <xf numFmtId="180" fontId="31" fillId="0" borderId="0" xfId="0" applyNumberFormat="1" applyFont="1" applyFill="1" applyBorder="1" applyAlignment="1">
      <alignment/>
    </xf>
    <xf numFmtId="0" fontId="31" fillId="0" borderId="0" xfId="128" applyFont="1">
      <alignment/>
      <protection/>
    </xf>
    <xf numFmtId="0" fontId="34" fillId="0" borderId="0" xfId="128" applyFont="1" applyAlignment="1">
      <alignment horizontal="center"/>
      <protection/>
    </xf>
    <xf numFmtId="167" fontId="34" fillId="0" borderId="0" xfId="74" applyNumberFormat="1" applyFont="1" applyAlignment="1">
      <alignment horizontal="center"/>
    </xf>
    <xf numFmtId="167" fontId="31" fillId="0" borderId="0" xfId="74" applyNumberFormat="1" applyFont="1" applyAlignment="1">
      <alignment/>
    </xf>
    <xf numFmtId="0" fontId="31" fillId="0" borderId="0" xfId="128" applyFont="1" applyAlignment="1">
      <alignment horizontal="center"/>
      <protection/>
    </xf>
    <xf numFmtId="168" fontId="31" fillId="0" borderId="0" xfId="92" applyNumberFormat="1" applyFont="1" applyAlignment="1">
      <alignment/>
    </xf>
    <xf numFmtId="167" fontId="31" fillId="0" borderId="0" xfId="74" applyNumberFormat="1" applyFont="1" applyAlignment="1">
      <alignment horizontal="center"/>
    </xf>
    <xf numFmtId="168" fontId="31" fillId="0" borderId="0" xfId="92" applyNumberFormat="1" applyFont="1" applyAlignment="1">
      <alignment/>
    </xf>
    <xf numFmtId="0" fontId="31" fillId="0" borderId="0" xfId="128" applyFont="1" applyFill="1">
      <alignment/>
      <protection/>
    </xf>
    <xf numFmtId="167" fontId="31" fillId="0" borderId="0" xfId="74" applyNumberFormat="1" applyFont="1" applyBorder="1" applyAlignment="1">
      <alignment/>
    </xf>
    <xf numFmtId="0" fontId="31" fillId="0" borderId="0" xfId="128" applyFont="1" applyBorder="1">
      <alignment/>
      <protection/>
    </xf>
    <xf numFmtId="10" fontId="31" fillId="0" borderId="0" xfId="136" applyNumberFormat="1" applyFont="1" applyBorder="1" applyAlignment="1">
      <alignment/>
    </xf>
    <xf numFmtId="0" fontId="31" fillId="0" borderId="0" xfId="128" applyFont="1" applyBorder="1" applyAlignment="1">
      <alignment horizontal="center"/>
      <protection/>
    </xf>
    <xf numFmtId="167" fontId="31" fillId="0" borderId="15" xfId="74" applyNumberFormat="1" applyFont="1" applyBorder="1" applyAlignment="1">
      <alignment/>
    </xf>
    <xf numFmtId="168" fontId="31" fillId="0" borderId="21" xfId="92" applyNumberFormat="1" applyFont="1" applyBorder="1" applyAlignment="1">
      <alignment/>
    </xf>
    <xf numFmtId="169" fontId="31" fillId="0" borderId="0" xfId="74" applyNumberFormat="1" applyFont="1" applyAlignment="1">
      <alignment/>
    </xf>
    <xf numFmtId="167" fontId="31" fillId="0" borderId="0" xfId="74" applyNumberFormat="1" applyFont="1" applyBorder="1" applyAlignment="1">
      <alignment horizontal="center"/>
    </xf>
    <xf numFmtId="167" fontId="31" fillId="0" borderId="15" xfId="74" applyNumberFormat="1" applyFont="1" applyBorder="1" applyAlignment="1">
      <alignment horizontal="center"/>
    </xf>
    <xf numFmtId="10" fontId="34" fillId="0" borderId="0" xfId="136" applyNumberFormat="1" applyFont="1" applyAlignment="1">
      <alignment horizontal="center"/>
    </xf>
    <xf numFmtId="171" fontId="31" fillId="0" borderId="0" xfId="174" applyFont="1" applyFill="1">
      <alignment horizontal="left" wrapText="1"/>
      <protection/>
    </xf>
    <xf numFmtId="0" fontId="31" fillId="0" borderId="0" xfId="0" applyNumberFormat="1" applyFont="1" applyAlignment="1">
      <alignment/>
    </xf>
    <xf numFmtId="0" fontId="31" fillId="0" borderId="0" xfId="0" applyNumberFormat="1" applyFont="1" applyAlignment="1">
      <alignment horizontal="center"/>
    </xf>
    <xf numFmtId="171" fontId="31" fillId="0" borderId="0" xfId="174" applyFont="1">
      <alignment horizontal="left" wrapText="1"/>
      <protection/>
    </xf>
    <xf numFmtId="168" fontId="31" fillId="0" borderId="0" xfId="92" applyNumberFormat="1" applyFont="1" applyBorder="1" applyAlignment="1">
      <alignment/>
    </xf>
    <xf numFmtId="0" fontId="31" fillId="0" borderId="0" xfId="0" applyNumberFormat="1" applyFont="1" applyAlignment="1">
      <alignment horizontal="justify"/>
    </xf>
    <xf numFmtId="6" fontId="31" fillId="0" borderId="0" xfId="91" applyNumberFormat="1" applyFont="1" applyAlignment="1">
      <alignment/>
    </xf>
    <xf numFmtId="168" fontId="31" fillId="0" borderId="0" xfId="128" applyNumberFormat="1" applyFont="1">
      <alignment/>
      <protection/>
    </xf>
    <xf numFmtId="168" fontId="31" fillId="0" borderId="15" xfId="92" applyNumberFormat="1" applyFont="1" applyBorder="1" applyAlignment="1">
      <alignment/>
    </xf>
    <xf numFmtId="0" fontId="31" fillId="0" borderId="0" xfId="128" applyFont="1" applyAlignment="1">
      <alignment horizontal="left"/>
      <protection/>
    </xf>
    <xf numFmtId="42" fontId="31" fillId="0" borderId="0" xfId="174" applyNumberFormat="1" applyFont="1" applyFill="1" applyAlignment="1">
      <alignment/>
      <protection/>
    </xf>
    <xf numFmtId="41" fontId="31" fillId="0" borderId="0" xfId="174" applyNumberFormat="1" applyFont="1" applyFill="1" applyAlignment="1" applyProtection="1">
      <alignment/>
      <protection locked="0"/>
    </xf>
    <xf numFmtId="42" fontId="31" fillId="0" borderId="0" xfId="174" applyNumberFormat="1" applyFont="1" applyFill="1" applyAlignment="1" applyProtection="1">
      <alignment/>
      <protection locked="0"/>
    </xf>
    <xf numFmtId="166" fontId="31" fillId="0" borderId="0" xfId="174" applyNumberFormat="1" applyFont="1" applyFill="1" applyAlignment="1">
      <alignment/>
      <protection/>
    </xf>
    <xf numFmtId="167" fontId="31" fillId="0" borderId="0" xfId="174" applyNumberFormat="1" applyFont="1" applyFill="1" applyAlignment="1">
      <alignment/>
      <protection/>
    </xf>
    <xf numFmtId="41" fontId="31" fillId="0" borderId="0" xfId="174" applyNumberFormat="1" applyFont="1" applyFill="1" applyBorder="1" applyAlignment="1" applyProtection="1">
      <alignment/>
      <protection locked="0"/>
    </xf>
    <xf numFmtId="42" fontId="31" fillId="0" borderId="0" xfId="174" applyNumberFormat="1" applyFont="1" applyFill="1" applyAlignment="1">
      <alignment horizontal="left"/>
      <protection/>
    </xf>
    <xf numFmtId="171" fontId="34" fillId="0" borderId="0" xfId="174" applyFont="1" applyAlignment="1">
      <alignment horizontal="left"/>
      <protection/>
    </xf>
    <xf numFmtId="0" fontId="31" fillId="0" borderId="0" xfId="129" applyFont="1" applyBorder="1" applyAlignment="1">
      <alignment horizontal="center"/>
      <protection/>
    </xf>
    <xf numFmtId="0" fontId="31" fillId="0" borderId="0" xfId="129" applyFont="1" applyFill="1" applyBorder="1" applyAlignment="1">
      <alignment horizontal="left"/>
      <protection/>
    </xf>
    <xf numFmtId="0" fontId="31" fillId="0" borderId="0" xfId="129" applyFont="1" applyBorder="1">
      <alignment/>
      <protection/>
    </xf>
    <xf numFmtId="0" fontId="49" fillId="0" borderId="0" xfId="129" applyFont="1" applyBorder="1">
      <alignment/>
      <protection/>
    </xf>
    <xf numFmtId="0" fontId="31" fillId="0" borderId="0" xfId="129" applyFont="1" applyBorder="1" applyAlignment="1">
      <alignment horizontal="center" vertical="top" wrapText="1"/>
      <protection/>
    </xf>
    <xf numFmtId="0" fontId="31" fillId="0" borderId="0" xfId="129" applyFont="1" applyBorder="1" applyAlignment="1">
      <alignment horizontal="left"/>
      <protection/>
    </xf>
    <xf numFmtId="168" fontId="31" fillId="0" borderId="0" xfId="129" applyNumberFormat="1" applyFont="1" applyBorder="1">
      <alignment/>
      <protection/>
    </xf>
    <xf numFmtId="42" fontId="31" fillId="0" borderId="0" xfId="93" applyNumberFormat="1" applyFont="1" applyBorder="1" applyAlignment="1">
      <alignment/>
    </xf>
    <xf numFmtId="42" fontId="31" fillId="0" borderId="0" xfId="136" applyNumberFormat="1" applyFont="1" applyBorder="1" applyAlignment="1">
      <alignment/>
    </xf>
    <xf numFmtId="42" fontId="31" fillId="0" borderId="0" xfId="70" applyNumberFormat="1" applyFont="1" applyFill="1" applyBorder="1" applyAlignment="1">
      <alignment/>
    </xf>
    <xf numFmtId="41" fontId="31" fillId="0" borderId="0" xfId="70" applyNumberFormat="1" applyFont="1" applyBorder="1" applyAlignment="1">
      <alignment/>
    </xf>
    <xf numFmtId="41" fontId="31" fillId="0" borderId="0" xfId="70" applyNumberFormat="1" applyFont="1" applyFill="1" applyBorder="1" applyAlignment="1">
      <alignment/>
    </xf>
    <xf numFmtId="41" fontId="34" fillId="0" borderId="0" xfId="70" applyNumberFormat="1" applyFont="1" applyBorder="1" applyAlignment="1">
      <alignment/>
    </xf>
    <xf numFmtId="41" fontId="34" fillId="0" borderId="0" xfId="70" applyNumberFormat="1" applyFont="1" applyFill="1" applyBorder="1" applyAlignment="1">
      <alignment/>
    </xf>
    <xf numFmtId="0" fontId="34" fillId="0" borderId="0" xfId="129" applyFont="1" applyBorder="1" applyAlignment="1">
      <alignment horizontal="center" vertical="top" wrapText="1"/>
      <protection/>
    </xf>
    <xf numFmtId="10" fontId="34" fillId="0" borderId="0" xfId="136" applyNumberFormat="1" applyFont="1" applyBorder="1" applyAlignment="1">
      <alignment horizontal="center" vertical="top" wrapText="1"/>
    </xf>
    <xf numFmtId="3" fontId="31" fillId="0" borderId="0" xfId="70" applyNumberFormat="1" applyFont="1" applyAlignment="1">
      <alignment/>
    </xf>
    <xf numFmtId="0" fontId="34" fillId="0" borderId="0" xfId="129" applyFont="1" applyBorder="1" applyAlignment="1">
      <alignment horizontal="center"/>
      <protection/>
    </xf>
    <xf numFmtId="169" fontId="31" fillId="0" borderId="0" xfId="74" applyNumberFormat="1" applyFont="1" applyBorder="1" applyAlignment="1">
      <alignment/>
    </xf>
    <xf numFmtId="41" fontId="31" fillId="0" borderId="15" xfId="70" applyNumberFormat="1" applyFont="1" applyBorder="1" applyAlignment="1">
      <alignment/>
    </xf>
    <xf numFmtId="0" fontId="31" fillId="0" borderId="0" xfId="129" applyFont="1" applyFill="1" applyBorder="1">
      <alignment/>
      <protection/>
    </xf>
    <xf numFmtId="3" fontId="31" fillId="0" borderId="0" xfId="7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4" fillId="0" borderId="0" xfId="70" applyNumberFormat="1" applyFont="1" applyAlignment="1">
      <alignment horizontal="center"/>
    </xf>
    <xf numFmtId="42" fontId="31" fillId="0" borderId="0" xfId="70" applyNumberFormat="1" applyFont="1" applyAlignment="1">
      <alignment/>
    </xf>
    <xf numFmtId="41" fontId="31" fillId="0" borderId="0" xfId="70" applyNumberFormat="1" applyFont="1" applyAlignment="1">
      <alignment/>
    </xf>
    <xf numFmtId="171" fontId="31" fillId="0" borderId="0" xfId="174" applyFont="1" applyFill="1" applyBorder="1" applyAlignment="1">
      <alignment horizontal="center"/>
      <protection/>
    </xf>
    <xf numFmtId="171" fontId="31" fillId="0" borderId="15" xfId="174" applyFont="1" applyFill="1" applyBorder="1" applyAlignment="1">
      <alignment horizontal="center"/>
      <protection/>
    </xf>
    <xf numFmtId="37" fontId="32" fillId="0" borderId="0" xfId="128" applyNumberFormat="1" applyFont="1" applyFill="1" applyAlignment="1">
      <alignment horizontal="center"/>
      <protection/>
    </xf>
    <xf numFmtId="0" fontId="4" fillId="0" borderId="0" xfId="126">
      <alignment/>
      <protection/>
    </xf>
    <xf numFmtId="0" fontId="4" fillId="0" borderId="0" xfId="126" applyBorder="1">
      <alignment/>
      <protection/>
    </xf>
    <xf numFmtId="0" fontId="32" fillId="0" borderId="0" xfId="126" applyFont="1" applyFill="1">
      <alignment/>
      <protection/>
    </xf>
    <xf numFmtId="171" fontId="14" fillId="0" borderId="0" xfId="174" applyFont="1" applyFill="1" applyAlignment="1">
      <alignment horizontal="left"/>
      <protection/>
    </xf>
    <xf numFmtId="0" fontId="31" fillId="0" borderId="0" xfId="126" applyFont="1" applyFill="1" applyAlignment="1">
      <alignment horizontal="center"/>
      <protection/>
    </xf>
    <xf numFmtId="0" fontId="4" fillId="0" borderId="0" xfId="126" applyFont="1">
      <alignment/>
      <protection/>
    </xf>
    <xf numFmtId="0" fontId="31" fillId="0" borderId="0" xfId="126" applyFont="1" applyFill="1">
      <alignment/>
      <protection/>
    </xf>
    <xf numFmtId="0" fontId="31" fillId="0" borderId="0" xfId="126" applyFont="1" applyFill="1" applyBorder="1">
      <alignment/>
      <protection/>
    </xf>
    <xf numFmtId="171" fontId="31" fillId="0" borderId="0" xfId="174" applyFont="1" applyAlignment="1">
      <alignment horizontal="left" indent="2"/>
      <protection/>
    </xf>
    <xf numFmtId="42" fontId="31" fillId="0" borderId="0" xfId="73" applyNumberFormat="1" applyFont="1" applyFill="1" applyAlignment="1">
      <alignment/>
    </xf>
    <xf numFmtId="42" fontId="31" fillId="0" borderId="0" xfId="73" applyNumberFormat="1" applyFont="1" applyFill="1" applyBorder="1" applyAlignment="1">
      <alignment/>
    </xf>
    <xf numFmtId="41" fontId="31" fillId="0" borderId="0" xfId="73" applyNumberFormat="1" applyFont="1" applyFill="1" applyAlignment="1">
      <alignment/>
    </xf>
    <xf numFmtId="41" fontId="31" fillId="0" borderId="0" xfId="73" applyNumberFormat="1" applyFont="1" applyFill="1" applyBorder="1" applyAlignment="1">
      <alignment/>
    </xf>
    <xf numFmtId="171" fontId="31" fillId="0" borderId="0" xfId="174" applyFont="1" applyAlignment="1">
      <alignment horizontal="left"/>
      <protection/>
    </xf>
    <xf numFmtId="42" fontId="31" fillId="0" borderId="16" xfId="126" applyNumberFormat="1" applyFont="1" applyFill="1" applyBorder="1">
      <alignment/>
      <protection/>
    </xf>
    <xf numFmtId="42" fontId="31" fillId="0" borderId="0" xfId="126" applyNumberFormat="1" applyFont="1" applyFill="1" applyBorder="1">
      <alignment/>
      <protection/>
    </xf>
    <xf numFmtId="0" fontId="4" fillId="0" borderId="0" xfId="126" applyFont="1" applyBorder="1">
      <alignment/>
      <protection/>
    </xf>
    <xf numFmtId="171" fontId="31" fillId="0" borderId="0" xfId="174" applyFont="1" applyAlignment="1">
      <alignment horizontal="left" indent="1"/>
      <protection/>
    </xf>
    <xf numFmtId="0" fontId="31" fillId="0" borderId="0" xfId="126" applyFont="1">
      <alignment/>
      <protection/>
    </xf>
    <xf numFmtId="0" fontId="31" fillId="0" borderId="0" xfId="126" applyFont="1" applyBorder="1">
      <alignment/>
      <protection/>
    </xf>
    <xf numFmtId="0" fontId="34" fillId="0" borderId="0" xfId="126" applyFont="1">
      <alignment/>
      <protection/>
    </xf>
    <xf numFmtId="171" fontId="31" fillId="0" borderId="0" xfId="0" applyFont="1" applyFill="1" applyAlignment="1">
      <alignment horizontal="left" wrapText="1"/>
    </xf>
    <xf numFmtId="0" fontId="4" fillId="0" borderId="0" xfId="0" applyNumberFormat="1" applyFont="1" applyAlignment="1">
      <alignment/>
    </xf>
    <xf numFmtId="42" fontId="31" fillId="0" borderId="0" xfId="72" applyNumberFormat="1" applyFont="1" applyFill="1" applyBorder="1" applyAlignment="1">
      <alignment/>
    </xf>
    <xf numFmtId="41" fontId="31" fillId="0" borderId="0" xfId="72" applyNumberFormat="1" applyFont="1" applyFill="1" applyBorder="1" applyAlignment="1">
      <alignment/>
    </xf>
    <xf numFmtId="41" fontId="31" fillId="0" borderId="0" xfId="90" applyNumberFormat="1" applyFont="1" applyFill="1" applyBorder="1" applyAlignment="1">
      <alignment/>
    </xf>
    <xf numFmtId="168" fontId="31" fillId="0" borderId="14" xfId="90" applyNumberFormat="1" applyFont="1" applyBorder="1" applyAlignment="1">
      <alignment/>
    </xf>
    <xf numFmtId="42" fontId="4" fillId="0" borderId="0" xfId="0" applyNumberFormat="1" applyFont="1" applyAlignment="1">
      <alignment/>
    </xf>
    <xf numFmtId="37" fontId="32" fillId="0" borderId="0" xfId="128" applyNumberFormat="1" applyFont="1" applyFill="1" applyBorder="1" applyAlignment="1">
      <alignment horizontal="center"/>
      <protection/>
    </xf>
    <xf numFmtId="42" fontId="31" fillId="0" borderId="15" xfId="73" applyNumberFormat="1" applyFont="1" applyFill="1" applyBorder="1" applyAlignment="1">
      <alignment/>
    </xf>
    <xf numFmtId="3" fontId="31" fillId="0" borderId="0" xfId="70" applyNumberFormat="1" applyFont="1" applyBorder="1" applyAlignment="1">
      <alignment/>
    </xf>
    <xf numFmtId="0" fontId="4" fillId="0" borderId="0" xfId="126" applyAlignment="1">
      <alignment horizontal="center"/>
      <protection/>
    </xf>
    <xf numFmtId="42" fontId="31" fillId="0" borderId="15" xfId="72" applyNumberFormat="1" applyFont="1" applyFill="1" applyBorder="1" applyAlignment="1">
      <alignment/>
    </xf>
    <xf numFmtId="0" fontId="31" fillId="0" borderId="0" xfId="130" applyFont="1" applyAlignment="1">
      <alignment horizontal="center"/>
      <protection/>
    </xf>
    <xf numFmtId="0" fontId="31" fillId="0" borderId="0" xfId="130" applyFont="1">
      <alignment/>
      <protection/>
    </xf>
    <xf numFmtId="167" fontId="31" fillId="0" borderId="0" xfId="75" applyNumberFormat="1" applyFont="1" applyAlignment="1">
      <alignment/>
    </xf>
    <xf numFmtId="167" fontId="31" fillId="0" borderId="0" xfId="75" applyNumberFormat="1" applyFont="1" applyAlignment="1">
      <alignment horizontal="center"/>
    </xf>
    <xf numFmtId="0" fontId="34" fillId="0" borderId="0" xfId="130" applyFont="1" applyAlignment="1">
      <alignment horizontal="center"/>
      <protection/>
    </xf>
    <xf numFmtId="0" fontId="34" fillId="0" borderId="0" xfId="130" applyFont="1">
      <alignment/>
      <protection/>
    </xf>
    <xf numFmtId="167" fontId="34" fillId="0" borderId="0" xfId="75" applyNumberFormat="1" applyFont="1" applyAlignment="1">
      <alignment horizontal="center"/>
    </xf>
    <xf numFmtId="168" fontId="31" fillId="0" borderId="0" xfId="94" applyNumberFormat="1" applyFont="1" applyAlignment="1">
      <alignment/>
    </xf>
    <xf numFmtId="9" fontId="31" fillId="0" borderId="0" xfId="136" applyFont="1" applyAlignment="1">
      <alignment/>
    </xf>
    <xf numFmtId="9" fontId="31" fillId="0" borderId="0" xfId="130" applyNumberFormat="1" applyFont="1">
      <alignment/>
      <protection/>
    </xf>
    <xf numFmtId="167" fontId="51" fillId="0" borderId="0" xfId="75" applyNumberFormat="1" applyFont="1" applyAlignment="1">
      <alignment/>
    </xf>
    <xf numFmtId="168" fontId="31" fillId="0" borderId="0" xfId="128" applyNumberFormat="1" applyFont="1" applyAlignment="1">
      <alignment horizontal="center"/>
      <protection/>
    </xf>
    <xf numFmtId="168" fontId="31" fillId="0" borderId="15" xfId="92" applyNumberFormat="1" applyFont="1" applyBorder="1" applyAlignment="1">
      <alignment/>
    </xf>
    <xf numFmtId="167" fontId="31" fillId="0" borderId="21" xfId="75" applyNumberFormat="1" applyFont="1" applyBorder="1" applyAlignment="1">
      <alignment/>
    </xf>
    <xf numFmtId="3" fontId="31" fillId="0" borderId="0" xfId="75" applyNumberFormat="1" applyFont="1" applyAlignment="1">
      <alignment/>
    </xf>
    <xf numFmtId="3" fontId="31" fillId="0" borderId="21" xfId="75" applyNumberFormat="1" applyFont="1" applyBorder="1" applyAlignment="1">
      <alignment/>
    </xf>
    <xf numFmtId="0" fontId="34" fillId="0" borderId="0" xfId="130" applyFont="1" applyAlignment="1">
      <alignment horizontal="left"/>
      <protection/>
    </xf>
    <xf numFmtId="175" fontId="31" fillId="0" borderId="0" xfId="70" applyNumberFormat="1" applyFont="1" applyBorder="1" applyAlignment="1">
      <alignment/>
    </xf>
    <xf numFmtId="10" fontId="31" fillId="0" borderId="0" xfId="0" applyNumberFormat="1" applyFont="1" applyAlignment="1">
      <alignment/>
    </xf>
    <xf numFmtId="0" fontId="31" fillId="0" borderId="0" xfId="0" applyNumberFormat="1" applyFont="1" applyFill="1" applyBorder="1" applyAlignment="1" quotePrefix="1">
      <alignment horizontal="center"/>
    </xf>
    <xf numFmtId="0" fontId="31" fillId="0" borderId="0" xfId="0" applyNumberFormat="1" applyFont="1" applyFill="1" applyAlignment="1" quotePrefix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31" fillId="0" borderId="16" xfId="0" applyNumberFormat="1" applyFont="1" applyFill="1" applyBorder="1" applyAlignment="1" applyProtection="1">
      <alignment/>
      <protection locked="0"/>
    </xf>
    <xf numFmtId="167" fontId="31" fillId="7" borderId="16" xfId="0" applyNumberFormat="1" applyFont="1" applyFill="1" applyBorder="1" applyAlignment="1" applyProtection="1">
      <alignment/>
      <protection locked="0"/>
    </xf>
    <xf numFmtId="42" fontId="31" fillId="7" borderId="16" xfId="0" applyNumberFormat="1" applyFont="1" applyFill="1" applyBorder="1" applyAlignment="1">
      <alignment/>
    </xf>
    <xf numFmtId="167" fontId="31" fillId="7" borderId="0" xfId="0" applyNumberFormat="1" applyFont="1" applyFill="1" applyAlignment="1" applyProtection="1">
      <alignment/>
      <protection locked="0"/>
    </xf>
    <xf numFmtId="10" fontId="31" fillId="0" borderId="0" xfId="136" applyNumberFormat="1" applyFont="1" applyFill="1" applyAlignment="1">
      <alignment/>
    </xf>
    <xf numFmtId="175" fontId="31" fillId="7" borderId="0" xfId="70" applyNumberFormat="1" applyFont="1" applyFill="1" applyAlignment="1">
      <alignment/>
    </xf>
    <xf numFmtId="175" fontId="31" fillId="0" borderId="0" xfId="70" applyNumberFormat="1" applyFont="1" applyFill="1" applyBorder="1" applyAlignment="1">
      <alignment/>
    </xf>
    <xf numFmtId="42" fontId="31" fillId="7" borderId="0" xfId="88" applyNumberFormat="1" applyFont="1" applyFill="1" applyAlignment="1">
      <alignment/>
    </xf>
    <xf numFmtId="10" fontId="31" fillId="0" borderId="15" xfId="0" applyNumberFormat="1" applyFont="1" applyFill="1" applyBorder="1" applyAlignment="1">
      <alignment/>
    </xf>
    <xf numFmtId="42" fontId="31" fillId="0" borderId="0" xfId="88" applyNumberFormat="1" applyFont="1" applyFill="1" applyBorder="1" applyAlignment="1">
      <alignment horizontal="right"/>
    </xf>
    <xf numFmtId="42" fontId="31" fillId="0" borderId="16" xfId="88" applyNumberFormat="1" applyFont="1" applyFill="1" applyBorder="1" applyAlignment="1" applyProtection="1">
      <alignment/>
      <protection locked="0"/>
    </xf>
    <xf numFmtId="42" fontId="31" fillId="7" borderId="16" xfId="88" applyNumberFormat="1" applyFont="1" applyFill="1" applyBorder="1" applyAlignment="1" applyProtection="1">
      <alignment/>
      <protection locked="0"/>
    </xf>
    <xf numFmtId="42" fontId="31" fillId="0" borderId="16" xfId="88" applyNumberFormat="1" applyFont="1" applyFill="1" applyBorder="1" applyAlignment="1">
      <alignment/>
    </xf>
    <xf numFmtId="42" fontId="31" fillId="7" borderId="16" xfId="88" applyNumberFormat="1" applyFont="1" applyFill="1" applyBorder="1" applyAlignment="1">
      <alignment/>
    </xf>
    <xf numFmtId="42" fontId="31" fillId="7" borderId="0" xfId="88" applyNumberFormat="1" applyFont="1" applyFill="1" applyAlignment="1" applyProtection="1">
      <alignment/>
      <protection locked="0"/>
    </xf>
    <xf numFmtId="0" fontId="4" fillId="0" borderId="15" xfId="126" applyBorder="1">
      <alignment/>
      <protection/>
    </xf>
    <xf numFmtId="171" fontId="31" fillId="0" borderId="0" xfId="174" applyFont="1" applyAlignment="1">
      <alignment/>
      <protection/>
    </xf>
    <xf numFmtId="42" fontId="31" fillId="0" borderId="0" xfId="0" applyNumberFormat="1" applyFont="1" applyAlignment="1">
      <alignment/>
    </xf>
    <xf numFmtId="42" fontId="31" fillId="0" borderId="21" xfId="73" applyNumberFormat="1" applyFont="1" applyFill="1" applyBorder="1" applyAlignment="1">
      <alignment/>
    </xf>
    <xf numFmtId="42" fontId="31" fillId="0" borderId="21" xfId="0" applyNumberFormat="1" applyFont="1" applyBorder="1" applyAlignment="1">
      <alignment/>
    </xf>
    <xf numFmtId="0" fontId="31" fillId="0" borderId="0" xfId="126" applyFont="1" applyAlignment="1">
      <alignment horizontal="center"/>
      <protection/>
    </xf>
    <xf numFmtId="0" fontId="32" fillId="0" borderId="0" xfId="128" applyFont="1" applyFill="1">
      <alignment/>
      <protection/>
    </xf>
    <xf numFmtId="167" fontId="31" fillId="0" borderId="0" xfId="74" applyNumberFormat="1" applyFont="1" applyFill="1" applyAlignment="1">
      <alignment/>
    </xf>
    <xf numFmtId="0" fontId="31" fillId="0" borderId="0" xfId="128" applyFont="1" applyFill="1" applyAlignment="1">
      <alignment horizontal="center"/>
      <protection/>
    </xf>
    <xf numFmtId="41" fontId="31" fillId="0" borderId="0" xfId="92" applyNumberFormat="1" applyFont="1" applyBorder="1" applyAlignment="1">
      <alignment/>
    </xf>
    <xf numFmtId="41" fontId="31" fillId="0" borderId="0" xfId="136" applyNumberFormat="1" applyFont="1" applyBorder="1" applyAlignment="1">
      <alignment/>
    </xf>
    <xf numFmtId="41" fontId="31" fillId="0" borderId="15" xfId="92" applyNumberFormat="1" applyFont="1" applyBorder="1" applyAlignment="1">
      <alignment/>
    </xf>
    <xf numFmtId="0" fontId="31" fillId="0" borderId="0" xfId="0" applyNumberFormat="1" applyFont="1" applyAlignment="1">
      <alignment wrapText="1"/>
    </xf>
    <xf numFmtId="0" fontId="55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42" fontId="31" fillId="0" borderId="0" xfId="88" applyNumberFormat="1" applyFont="1" applyAlignment="1">
      <alignment/>
    </xf>
    <xf numFmtId="41" fontId="31" fillId="0" borderId="15" xfId="0" applyNumberFormat="1" applyFont="1" applyBorder="1" applyAlignment="1">
      <alignment/>
    </xf>
    <xf numFmtId="10" fontId="31" fillId="0" borderId="0" xfId="136" applyNumberFormat="1" applyFont="1" applyAlignment="1">
      <alignment/>
    </xf>
    <xf numFmtId="41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9" fontId="31" fillId="0" borderId="0" xfId="0" applyNumberFormat="1" applyFont="1" applyAlignment="1">
      <alignment/>
    </xf>
    <xf numFmtId="0" fontId="31" fillId="0" borderId="15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1" fillId="0" borderId="0" xfId="0" applyNumberFormat="1" applyFont="1" applyAlignment="1">
      <alignment horizontal="left"/>
    </xf>
    <xf numFmtId="9" fontId="31" fillId="0" borderId="15" xfId="0" applyNumberFormat="1" applyFont="1" applyBorder="1" applyAlignment="1">
      <alignment/>
    </xf>
    <xf numFmtId="10" fontId="31" fillId="0" borderId="15" xfId="0" applyNumberFormat="1" applyFont="1" applyBorder="1" applyAlignment="1">
      <alignment/>
    </xf>
    <xf numFmtId="41" fontId="31" fillId="0" borderId="0" xfId="174" applyNumberFormat="1" applyFont="1">
      <alignment horizontal="left" wrapText="1"/>
      <protection/>
    </xf>
    <xf numFmtId="0" fontId="31" fillId="0" borderId="0" xfId="0" applyNumberFormat="1" applyFont="1" applyAlignment="1">
      <alignment horizontal="center" vertical="top"/>
    </xf>
    <xf numFmtId="3" fontId="31" fillId="0" borderId="0" xfId="127" applyNumberFormat="1" applyFont="1" applyAlignment="1">
      <alignment/>
      <protection/>
    </xf>
    <xf numFmtId="3" fontId="32" fillId="0" borderId="0" xfId="127" applyNumberFormat="1" applyFont="1" applyAlignment="1" applyProtection="1">
      <alignment/>
      <protection locked="0"/>
    </xf>
    <xf numFmtId="3" fontId="31" fillId="0" borderId="0" xfId="127" applyNumberFormat="1" applyFont="1" applyBorder="1" applyAlignment="1">
      <alignment/>
      <protection/>
    </xf>
    <xf numFmtId="3" fontId="31" fillId="0" borderId="0" xfId="127" applyNumberFormat="1" applyFont="1" applyBorder="1" applyAlignment="1">
      <alignment horizontal="center"/>
      <protection/>
    </xf>
    <xf numFmtId="3" fontId="31" fillId="0" borderId="0" xfId="127" applyNumberFormat="1" applyFont="1" applyAlignment="1">
      <alignment horizontal="center"/>
      <protection/>
    </xf>
    <xf numFmtId="3" fontId="31" fillId="0" borderId="13" xfId="127" applyNumberFormat="1" applyFont="1" applyBorder="1" applyAlignment="1">
      <alignment horizontal="center"/>
      <protection/>
    </xf>
    <xf numFmtId="3" fontId="31" fillId="0" borderId="22" xfId="127" applyNumberFormat="1" applyFont="1" applyBorder="1" applyAlignment="1">
      <alignment horizontal="center"/>
      <protection/>
    </xf>
    <xf numFmtId="3" fontId="31" fillId="0" borderId="22" xfId="127" applyNumberFormat="1" applyFont="1" applyBorder="1">
      <alignment/>
      <protection/>
    </xf>
    <xf numFmtId="3" fontId="31" fillId="0" borderId="15" xfId="70" applyNumberFormat="1" applyFont="1" applyBorder="1" applyAlignment="1">
      <alignment/>
    </xf>
    <xf numFmtId="5" fontId="31" fillId="0" borderId="0" xfId="127" applyNumberFormat="1" applyFont="1" applyAlignment="1">
      <alignment/>
      <protection/>
    </xf>
    <xf numFmtId="37" fontId="31" fillId="0" borderId="0" xfId="127" applyNumberFormat="1" applyFont="1" applyBorder="1" applyAlignment="1">
      <alignment/>
      <protection/>
    </xf>
    <xf numFmtId="10" fontId="31" fillId="0" borderId="0" xfId="127" applyNumberFormat="1" applyFont="1">
      <alignment/>
      <protection/>
    </xf>
    <xf numFmtId="37" fontId="31" fillId="0" borderId="15" xfId="127" applyNumberFormat="1" applyFont="1" applyBorder="1" applyAlignment="1">
      <alignment/>
      <protection/>
    </xf>
    <xf numFmtId="37" fontId="31" fillId="0" borderId="0" xfId="127" applyNumberFormat="1" applyFont="1">
      <alignment/>
      <protection/>
    </xf>
    <xf numFmtId="37" fontId="31" fillId="0" borderId="0" xfId="127" applyNumberFormat="1" applyFont="1" applyAlignment="1">
      <alignment/>
      <protection/>
    </xf>
    <xf numFmtId="182" fontId="31" fillId="0" borderId="15" xfId="127" applyNumberFormat="1" applyFont="1" applyBorder="1">
      <alignment/>
      <protection/>
    </xf>
    <xf numFmtId="37" fontId="31" fillId="0" borderId="15" xfId="127" applyNumberFormat="1" applyFont="1" applyBorder="1">
      <alignment/>
      <protection/>
    </xf>
    <xf numFmtId="3" fontId="31" fillId="0" borderId="0" xfId="127" applyNumberFormat="1" applyFont="1" applyFill="1" applyAlignment="1">
      <alignment/>
      <protection/>
    </xf>
    <xf numFmtId="181" fontId="33" fillId="0" borderId="0" xfId="0" applyNumberFormat="1" applyFont="1" applyFill="1" applyAlignment="1">
      <alignment/>
    </xf>
    <xf numFmtId="181" fontId="31" fillId="0" borderId="0" xfId="0" applyNumberFormat="1" applyFont="1" applyFill="1" applyAlignment="1">
      <alignment/>
    </xf>
    <xf numFmtId="181" fontId="33" fillId="0" borderId="15" xfId="0" applyNumberFormat="1" applyFont="1" applyFill="1" applyBorder="1" applyAlignment="1">
      <alignment/>
    </xf>
    <xf numFmtId="181" fontId="31" fillId="0" borderId="0" xfId="0" applyNumberFormat="1" applyFont="1" applyFill="1" applyBorder="1" applyAlignment="1">
      <alignment/>
    </xf>
    <xf numFmtId="181" fontId="33" fillId="0" borderId="6" xfId="0" applyNumberFormat="1" applyFont="1" applyFill="1" applyBorder="1" applyAlignment="1" applyProtection="1">
      <alignment/>
      <protection locked="0"/>
    </xf>
    <xf numFmtId="181" fontId="31" fillId="0" borderId="0" xfId="0" applyNumberFormat="1" applyFont="1" applyAlignment="1">
      <alignment/>
    </xf>
    <xf numFmtId="37" fontId="31" fillId="0" borderId="15" xfId="127" applyNumberFormat="1" applyFont="1" applyFill="1" applyBorder="1" applyAlignment="1">
      <alignment/>
      <protection/>
    </xf>
    <xf numFmtId="0" fontId="56" fillId="0" borderId="0" xfId="0" applyNumberFormat="1" applyFont="1" applyAlignment="1">
      <alignment/>
    </xf>
    <xf numFmtId="0" fontId="32" fillId="0" borderId="0" xfId="0" applyNumberFormat="1" applyFont="1" applyFill="1" applyBorder="1" applyAlignment="1">
      <alignment horizontal="centerContinuous"/>
    </xf>
    <xf numFmtId="171" fontId="32" fillId="0" borderId="0" xfId="174" applyFont="1" applyFill="1" applyAlignment="1">
      <alignment horizontal="centerContinuous"/>
      <protection/>
    </xf>
    <xf numFmtId="3" fontId="31" fillId="0" borderId="0" xfId="70" applyNumberFormat="1" applyFont="1" applyFill="1" applyAlignment="1">
      <alignment horizontal="left" vertical="center"/>
    </xf>
    <xf numFmtId="3" fontId="31" fillId="0" borderId="0" xfId="70" applyNumberFormat="1" applyFont="1" applyFill="1" applyBorder="1" applyAlignment="1">
      <alignment horizontal="left" vertical="center"/>
    </xf>
    <xf numFmtId="0" fontId="31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NumberFormat="1" applyFont="1" applyFill="1" applyBorder="1" applyAlignment="1">
      <alignment horizontal="left" vertical="center"/>
    </xf>
    <xf numFmtId="42" fontId="31" fillId="0" borderId="15" xfId="0" applyNumberFormat="1" applyFont="1" applyBorder="1" applyAlignment="1">
      <alignment/>
    </xf>
    <xf numFmtId="0" fontId="34" fillId="0" borderId="0" xfId="0" applyNumberFormat="1" applyFont="1" applyAlignment="1">
      <alignment horizontal="left"/>
    </xf>
    <xf numFmtId="6" fontId="31" fillId="0" borderId="0" xfId="91" applyNumberFormat="1" applyFont="1" applyBorder="1" applyAlignment="1">
      <alignment/>
    </xf>
    <xf numFmtId="0" fontId="31" fillId="0" borderId="0" xfId="128" applyFont="1" applyFill="1" applyBorder="1">
      <alignment/>
      <protection/>
    </xf>
    <xf numFmtId="10" fontId="31" fillId="0" borderId="0" xfId="128" applyNumberFormat="1" applyFont="1" applyBorder="1">
      <alignment/>
      <protection/>
    </xf>
    <xf numFmtId="42" fontId="31" fillId="0" borderId="0" xfId="92" applyNumberFormat="1" applyFont="1" applyBorder="1" applyAlignment="1">
      <alignment/>
    </xf>
    <xf numFmtId="41" fontId="31" fillId="0" borderId="0" xfId="74" applyNumberFormat="1" applyFont="1" applyBorder="1" applyAlignment="1">
      <alignment horizontal="center"/>
    </xf>
    <xf numFmtId="41" fontId="31" fillId="0" borderId="15" xfId="74" applyNumberFormat="1" applyFont="1" applyBorder="1" applyAlignment="1">
      <alignment horizontal="center"/>
    </xf>
    <xf numFmtId="42" fontId="31" fillId="0" borderId="21" xfId="92" applyNumberFormat="1" applyFont="1" applyBorder="1" applyAlignment="1">
      <alignment/>
    </xf>
    <xf numFmtId="0" fontId="34" fillId="0" borderId="0" xfId="128" applyFont="1" applyBorder="1" applyAlignment="1">
      <alignment horizontal="center"/>
      <protection/>
    </xf>
    <xf numFmtId="0" fontId="31" fillId="0" borderId="15" xfId="0" applyNumberFormat="1" applyFont="1" applyBorder="1" applyAlignment="1">
      <alignment/>
    </xf>
    <xf numFmtId="42" fontId="31" fillId="0" borderId="0" xfId="0" applyNumberFormat="1" applyFont="1" applyBorder="1" applyAlignment="1">
      <alignment/>
    </xf>
    <xf numFmtId="0" fontId="34" fillId="0" borderId="0" xfId="0" applyNumberFormat="1" applyFont="1" applyAlignment="1">
      <alignment/>
    </xf>
    <xf numFmtId="7" fontId="31" fillId="0" borderId="0" xfId="0" applyNumberFormat="1" applyFont="1" applyFill="1" applyAlignment="1">
      <alignment/>
    </xf>
    <xf numFmtId="175" fontId="31" fillId="0" borderId="0" xfId="70" applyNumberFormat="1" applyFont="1" applyFill="1" applyAlignment="1">
      <alignment/>
    </xf>
    <xf numFmtId="42" fontId="31" fillId="0" borderId="0" xfId="88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2" fontId="31" fillId="0" borderId="0" xfId="88" applyNumberFormat="1" applyFont="1" applyFill="1" applyAlignment="1">
      <alignment/>
    </xf>
    <xf numFmtId="37" fontId="31" fillId="0" borderId="21" xfId="127" applyNumberFormat="1" applyFont="1" applyBorder="1">
      <alignment/>
      <protection/>
    </xf>
    <xf numFmtId="182" fontId="31" fillId="0" borderId="15" xfId="127" applyNumberFormat="1" applyFont="1" applyBorder="1" applyAlignment="1" quotePrefix="1">
      <alignment horizontal="center"/>
      <protection/>
    </xf>
    <xf numFmtId="0" fontId="31" fillId="0" borderId="0" xfId="130" applyFont="1" applyAlignment="1">
      <alignment horizontal="center" vertical="top"/>
      <protection/>
    </xf>
    <xf numFmtId="0" fontId="31" fillId="0" borderId="0" xfId="128" applyFont="1" applyAlignment="1">
      <alignment vertical="top"/>
      <protection/>
    </xf>
    <xf numFmtId="37" fontId="32" fillId="0" borderId="0" xfId="128" applyNumberFormat="1" applyFont="1" applyFill="1" applyAlignment="1">
      <alignment horizontal="center"/>
      <protection/>
    </xf>
    <xf numFmtId="3" fontId="32" fillId="0" borderId="0" xfId="127" applyNumberFormat="1" applyFont="1" applyAlignment="1">
      <alignment horizontal="center"/>
      <protection/>
    </xf>
    <xf numFmtId="0" fontId="31" fillId="0" borderId="15" xfId="0" applyNumberFormat="1" applyFont="1" applyFill="1" applyBorder="1" applyAlignment="1">
      <alignment horizontal="center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2" fillId="0" borderId="15" xfId="0" applyNumberFormat="1" applyFont="1" applyBorder="1" applyAlignment="1">
      <alignment horizontal="center"/>
    </xf>
    <xf numFmtId="0" fontId="31" fillId="0" borderId="15" xfId="128" applyFont="1" applyBorder="1" applyAlignment="1">
      <alignment horizontal="center"/>
      <protection/>
    </xf>
    <xf numFmtId="37" fontId="32" fillId="0" borderId="0" xfId="128" applyNumberFormat="1" applyFont="1" applyFill="1" applyBorder="1" applyAlignment="1">
      <alignment horizontal="center"/>
      <protection/>
    </xf>
    <xf numFmtId="0" fontId="31" fillId="0" borderId="15" xfId="0" applyNumberFormat="1" applyFont="1" applyBorder="1" applyAlignment="1">
      <alignment horizontal="center"/>
    </xf>
    <xf numFmtId="0" fontId="3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1" fillId="0" borderId="0" xfId="130" applyFont="1" applyAlignment="1">
      <alignment wrapText="1"/>
      <protection/>
    </xf>
    <xf numFmtId="0" fontId="4" fillId="0" borderId="0" xfId="130" applyAlignment="1">
      <alignment wrapText="1"/>
      <protection/>
    </xf>
    <xf numFmtId="0" fontId="31" fillId="0" borderId="0" xfId="125" applyFont="1" applyBorder="1" applyAlignment="1">
      <alignment horizontal="justify" vertical="top" wrapText="1"/>
      <protection/>
    </xf>
    <xf numFmtId="0" fontId="4" fillId="0" borderId="0" xfId="125" applyBorder="1" applyAlignment="1">
      <alignment vertical="top" wrapText="1"/>
      <protection/>
    </xf>
  </cellXfs>
  <cellStyles count="17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_11.07E Wild Horse - SK" xfId="72"/>
    <cellStyle name="Comma_4.06E Hopkins Ridge Infill (C) - SK" xfId="73"/>
    <cellStyle name="Comma_MJM-4" xfId="74"/>
    <cellStyle name="Comma_SK Compensation Adjustment" xfId="75"/>
    <cellStyle name="Comma0" xfId="76"/>
    <cellStyle name="Comma0 - Style2" xfId="77"/>
    <cellStyle name="Comma0 - Style4" xfId="78"/>
    <cellStyle name="Comma0 - Style5" xfId="79"/>
    <cellStyle name="Comma0_00COS Ind Allocators" xfId="80"/>
    <cellStyle name="Comma1 - Style1" xfId="81"/>
    <cellStyle name="Copied" xfId="82"/>
    <cellStyle name="COST1" xfId="83"/>
    <cellStyle name="Curren - Style1" xfId="84"/>
    <cellStyle name="Curren - Style2" xfId="85"/>
    <cellStyle name="Curren - Style5" xfId="86"/>
    <cellStyle name="Curren - Style6" xfId="87"/>
    <cellStyle name="Currency" xfId="88"/>
    <cellStyle name="Currency [0]" xfId="89"/>
    <cellStyle name="Currency_11.07E Wild Horse - SK" xfId="90"/>
    <cellStyle name="Currency_Book2" xfId="91"/>
    <cellStyle name="Currency_MJM-4" xfId="92"/>
    <cellStyle name="Currency_Shareholder meeting expenses" xfId="93"/>
    <cellStyle name="Currency_SK Compensation Adjustment" xfId="94"/>
    <cellStyle name="Currency0" xfId="95"/>
    <cellStyle name="Date" xfId="96"/>
    <cellStyle name="Entered" xfId="97"/>
    <cellStyle name="Explanatory Text" xfId="98"/>
    <cellStyle name="Fixed" xfId="99"/>
    <cellStyle name="Fixed3 - Style3" xfId="100"/>
    <cellStyle name="Followed Hyperlink" xfId="101"/>
    <cellStyle name="Good" xfId="102"/>
    <cellStyle name="Grey" xfId="103"/>
    <cellStyle name="Header1" xfId="104"/>
    <cellStyle name="Header2" xfId="105"/>
    <cellStyle name="Heading 1" xfId="106"/>
    <cellStyle name="Heading 2" xfId="107"/>
    <cellStyle name="Heading 3" xfId="108"/>
    <cellStyle name="Heading 4" xfId="109"/>
    <cellStyle name="Heading1" xfId="110"/>
    <cellStyle name="Heading2" xfId="111"/>
    <cellStyle name="Hyperlink" xfId="112"/>
    <cellStyle name="Input" xfId="113"/>
    <cellStyle name="Input [yellow]" xfId="114"/>
    <cellStyle name="Input Cells" xfId="115"/>
    <cellStyle name="Input Cells Percent" xfId="116"/>
    <cellStyle name="Lines" xfId="117"/>
    <cellStyle name="LINKED" xfId="118"/>
    <cellStyle name="Linked Cell" xfId="119"/>
    <cellStyle name="modified border" xfId="120"/>
    <cellStyle name="modified border1" xfId="121"/>
    <cellStyle name="Neutral" xfId="122"/>
    <cellStyle name="no dec" xfId="123"/>
    <cellStyle name="Normal - Style1" xfId="124"/>
    <cellStyle name="Normal_Book2" xfId="125"/>
    <cellStyle name="Normal_Hopkins Ridge" xfId="126"/>
    <cellStyle name="Normal_MJM-1" xfId="127"/>
    <cellStyle name="Normal_MJM-4" xfId="128"/>
    <cellStyle name="Normal_Shareholder meeting expenses" xfId="129"/>
    <cellStyle name="Normal_SK Compensation Adjustment" xfId="130"/>
    <cellStyle name="Note" xfId="131"/>
    <cellStyle name="Output" xfId="132"/>
    <cellStyle name="Percen - Style1" xfId="133"/>
    <cellStyle name="Percen - Style2" xfId="134"/>
    <cellStyle name="Percen - Style3" xfId="135"/>
    <cellStyle name="Percent" xfId="136"/>
    <cellStyle name="Percent [2]" xfId="137"/>
    <cellStyle name="Processing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purple - Style8" xfId="145"/>
    <cellStyle name="RED" xfId="146"/>
    <cellStyle name="Red - Style7" xfId="147"/>
    <cellStyle name="Report" xfId="148"/>
    <cellStyle name="Report Bar" xfId="149"/>
    <cellStyle name="Report Heading" xfId="150"/>
    <cellStyle name="Report Percent" xfId="151"/>
    <cellStyle name="Report Unit Cost" xfId="152"/>
    <cellStyle name="Reports" xfId="153"/>
    <cellStyle name="Reports Total" xfId="154"/>
    <cellStyle name="Reports Unit Cost Total" xfId="155"/>
    <cellStyle name="RevList" xfId="156"/>
    <cellStyle name="round100" xfId="157"/>
    <cellStyle name="SAPBEXaggData" xfId="158"/>
    <cellStyle name="SAPBEXaggItem" xfId="159"/>
    <cellStyle name="SAPBEXchaText" xfId="160"/>
    <cellStyle name="SAPBEXfilterDrill" xfId="161"/>
    <cellStyle name="SAPBEXfilterItem" xfId="162"/>
    <cellStyle name="SAPBEXheaderItem" xfId="163"/>
    <cellStyle name="SAPBEXheaderText" xfId="164"/>
    <cellStyle name="SAPBEXHLevel0X" xfId="165"/>
    <cellStyle name="SAPBEXstdData" xfId="166"/>
    <cellStyle name="SAPBEXstdItem" xfId="167"/>
    <cellStyle name="SAPBEXstdItemX" xfId="168"/>
    <cellStyle name="SAPBEXtitle" xfId="169"/>
    <cellStyle name="shade" xfId="170"/>
    <cellStyle name="StmtTtl1" xfId="171"/>
    <cellStyle name="StmtTtl2" xfId="172"/>
    <cellStyle name="STYL1 - Style1" xfId="173"/>
    <cellStyle name="Style 1" xfId="174"/>
    <cellStyle name="Subtotal" xfId="175"/>
    <cellStyle name="Sub-total" xfId="176"/>
    <cellStyle name="Title" xfId="177"/>
    <cellStyle name="Title: Major" xfId="178"/>
    <cellStyle name="Title: Minor" xfId="179"/>
    <cellStyle name="Title: Worksheet" xfId="180"/>
    <cellStyle name="Total" xfId="181"/>
    <cellStyle name="Total4 - Style4" xfId="182"/>
    <cellStyle name="Warning Text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externalLink" Target="externalLinks/externalLink33.xml" /><Relationship Id="rId57" Type="http://schemas.openxmlformats.org/officeDocument/2006/relationships/externalLink" Target="externalLinks/externalLink34.xml" /><Relationship Id="rId58" Type="http://schemas.openxmlformats.org/officeDocument/2006/relationships/externalLink" Target="externalLinks/externalLink35.xml" /><Relationship Id="rId59" Type="http://schemas.openxmlformats.org/officeDocument/2006/relationships/externalLink" Target="externalLinks/externalLink36.xml" /><Relationship Id="rId6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06\Power%20Costs\Costs%20not%20in%20AURORA%2006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T\ENCOGEN_WBOOK%20(StratPla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Capacity\CAP_WBoo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New%20Plant-093003\FredDispatch%209.3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2006%20GRC\2006%20GRC%20Original%20Filing\Models&amp;Adjs\1.06%20ALLOC%20METHO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Quarterly%20Reporting\2005\3rd%20Quarter%202005\WC_RB%203Q2005\WC-RB%20Overview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%202%20months)fi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21%20Kentucky%20American%20Water\SK%20Analysis\Final%20Exhibits\MJM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orted%20revenue%20requirement%20examples\KY%20American%20Water%20Final%20Exhibits\MJM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33">
          <cell r="C33">
            <v>0.35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2">
        <row r="11">
          <cell r="C11">
            <v>44926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0.06322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>     Water Sales</v>
          </cell>
          <cell r="D13">
            <v>49242905</v>
          </cell>
        </row>
        <row r="14">
          <cell r="A14">
            <v>4</v>
          </cell>
          <cell r="B14" t="str">
            <v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>     Labor</v>
          </cell>
          <cell r="D17">
            <v>6248477</v>
          </cell>
        </row>
        <row r="18">
          <cell r="A18">
            <v>8</v>
          </cell>
          <cell r="B18" t="str">
            <v>     Purchased Water</v>
          </cell>
          <cell r="D18">
            <v>477462.973597864</v>
          </cell>
        </row>
        <row r="19">
          <cell r="A19">
            <v>9</v>
          </cell>
          <cell r="B19" t="str">
            <v>     Fuel and Power</v>
          </cell>
          <cell r="D19">
            <v>2986276.9749717405</v>
          </cell>
        </row>
        <row r="20">
          <cell r="A20">
            <v>10</v>
          </cell>
          <cell r="B20" t="str">
            <v>     Chemicals</v>
          </cell>
          <cell r="D20">
            <v>1505218.0783944097</v>
          </cell>
        </row>
        <row r="21">
          <cell r="A21">
            <v>11</v>
          </cell>
          <cell r="B21" t="str">
            <v>     Waste Disposal</v>
          </cell>
          <cell r="D21">
            <v>262237</v>
          </cell>
        </row>
        <row r="22">
          <cell r="A22">
            <v>12</v>
          </cell>
          <cell r="B22" t="str">
            <v>     Management Fees</v>
          </cell>
          <cell r="D22">
            <v>6201194.48</v>
          </cell>
        </row>
        <row r="23">
          <cell r="A23">
            <v>13</v>
          </cell>
          <cell r="B23" t="str">
            <v>     Group Insurance</v>
          </cell>
          <cell r="D23">
            <v>1876895</v>
          </cell>
        </row>
        <row r="24">
          <cell r="A24">
            <v>14</v>
          </cell>
          <cell r="B24" t="str">
            <v>     Pensions</v>
          </cell>
          <cell r="D24">
            <v>502684</v>
          </cell>
        </row>
        <row r="25">
          <cell r="A25">
            <v>15</v>
          </cell>
          <cell r="B25" t="str">
            <v>     Regulatory Expense</v>
          </cell>
          <cell r="D25">
            <v>292195</v>
          </cell>
        </row>
        <row r="26">
          <cell r="A26">
            <v>16</v>
          </cell>
          <cell r="B26" t="str">
            <v>     Insurance Other than Group</v>
          </cell>
          <cell r="D26">
            <v>663910</v>
          </cell>
        </row>
        <row r="27">
          <cell r="A27">
            <v>17</v>
          </cell>
          <cell r="B27" t="str">
            <v>     Customer Accounting</v>
          </cell>
          <cell r="D27">
            <v>1376372.1835</v>
          </cell>
        </row>
        <row r="28">
          <cell r="A28">
            <v>18</v>
          </cell>
          <cell r="B28" t="str">
            <v>     Rents</v>
          </cell>
          <cell r="D28">
            <v>52165</v>
          </cell>
        </row>
        <row r="29">
          <cell r="A29">
            <v>19</v>
          </cell>
          <cell r="B29" t="str">
            <v>     General Office Expense</v>
          </cell>
          <cell r="D29">
            <v>475196</v>
          </cell>
        </row>
        <row r="30">
          <cell r="A30">
            <v>20</v>
          </cell>
          <cell r="B30" t="str">
            <v>     Miscellaneous</v>
          </cell>
          <cell r="D30">
            <v>3002288.878</v>
          </cell>
        </row>
        <row r="31">
          <cell r="A31">
            <v>21</v>
          </cell>
          <cell r="B31" t="str">
            <v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8038652.96233937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>     Property and Capital Stock</v>
          </cell>
          <cell r="D39">
            <v>2729050</v>
          </cell>
        </row>
        <row r="40">
          <cell r="A40">
            <v>30</v>
          </cell>
          <cell r="B40" t="str">
            <v>     Gross Receipts and Sales</v>
          </cell>
          <cell r="D40">
            <v>85932</v>
          </cell>
        </row>
        <row r="41">
          <cell r="A41">
            <v>31</v>
          </cell>
          <cell r="B41" t="str">
            <v>     Payroll</v>
          </cell>
          <cell r="D41">
            <v>482787</v>
          </cell>
        </row>
        <row r="42">
          <cell r="A42">
            <v>32</v>
          </cell>
          <cell r="B42" t="str">
            <v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>     Current</v>
          </cell>
          <cell r="D46">
            <v>305161</v>
          </cell>
        </row>
        <row r="47">
          <cell r="A47">
            <v>37</v>
          </cell>
          <cell r="B47" t="str">
            <v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>     Current</v>
          </cell>
          <cell r="D49">
            <v>1673301</v>
          </cell>
        </row>
        <row r="50">
          <cell r="A50">
            <v>40</v>
          </cell>
          <cell r="B50" t="str">
            <v>     Deferred</v>
          </cell>
          <cell r="D50">
            <v>905182</v>
          </cell>
        </row>
        <row r="51">
          <cell r="A51">
            <v>41</v>
          </cell>
          <cell r="B51" t="str">
            <v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0.0864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0.0777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-1758275.999375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1.6524921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06"/>
      <sheetName val="4Fact"/>
      <sheetName val="T&amp;D Vari Expl"/>
      <sheetName val="T&amp;D Vari Expl.Operat"/>
      <sheetName val="E&amp;G Plant"/>
      <sheetName val="BS"/>
      <sheetName val="IS"/>
      <sheetName val="IS.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  <sheetName val="AllocationMetho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 AMERICAN WATER COMPANY</v>
          </cell>
        </row>
        <row r="2">
          <cell r="A2" t="str">
            <v>FUTURE TEST YEAR ENDING NOVEMBER 30, 2008</v>
          </cell>
        </row>
        <row r="3">
          <cell r="A3" t="str">
            <v>RATE BASE SUMMARY</v>
          </cell>
        </row>
        <row r="7">
          <cell r="A7" t="str">
            <v>Line</v>
          </cell>
          <cell r="D7" t="str">
            <v>Company</v>
          </cell>
        </row>
        <row r="8">
          <cell r="A8" t="str">
            <v>No.</v>
          </cell>
          <cell r="B8" t="str">
            <v>Rate Base Component</v>
          </cell>
          <cell r="D8" t="str">
            <v>Claim  1/</v>
          </cell>
        </row>
        <row r="9">
          <cell r="A9">
            <v>1</v>
          </cell>
        </row>
        <row r="10">
          <cell r="A10">
            <v>2</v>
          </cell>
          <cell r="B10" t="str">
            <v>Utility Plant In Service</v>
          </cell>
          <cell r="D10">
            <v>366185081</v>
          </cell>
        </row>
        <row r="11">
          <cell r="A11">
            <v>3</v>
          </cell>
        </row>
        <row r="12">
          <cell r="A12">
            <v>4</v>
          </cell>
          <cell r="B12" t="str">
            <v>Property Held for Future Use</v>
          </cell>
          <cell r="D12">
            <v>0</v>
          </cell>
        </row>
        <row r="13">
          <cell r="A13">
            <v>5</v>
          </cell>
        </row>
        <row r="14">
          <cell r="A14">
            <v>6</v>
          </cell>
          <cell r="B14" t="str">
            <v>Utility Plant Acquisition Adjustments</v>
          </cell>
          <cell r="D14">
            <v>38065</v>
          </cell>
        </row>
        <row r="15">
          <cell r="A15">
            <v>7</v>
          </cell>
        </row>
        <row r="16">
          <cell r="A16">
            <v>8</v>
          </cell>
          <cell r="B16" t="str">
            <v>Accumulated Depreciation</v>
          </cell>
          <cell r="D16">
            <v>-94623187</v>
          </cell>
        </row>
        <row r="17">
          <cell r="A17">
            <v>9</v>
          </cell>
        </row>
        <row r="18">
          <cell r="A18">
            <v>10</v>
          </cell>
          <cell r="B18" t="str">
            <v>Accumulated Amortization</v>
          </cell>
          <cell r="D18">
            <v>0</v>
          </cell>
        </row>
        <row r="19">
          <cell r="A19">
            <v>11</v>
          </cell>
        </row>
        <row r="20">
          <cell r="A20">
            <v>12</v>
          </cell>
          <cell r="B20" t="str">
            <v>Net Utility Plant In Service</v>
          </cell>
          <cell r="D20">
            <v>271599959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  <cell r="B23" t="str">
            <v>Construction Work in Progress</v>
          </cell>
          <cell r="D23">
            <v>23186818</v>
          </cell>
        </row>
        <row r="24">
          <cell r="A24">
            <v>16</v>
          </cell>
        </row>
        <row r="25">
          <cell r="A25">
            <v>17</v>
          </cell>
          <cell r="B25" t="str">
            <v>Working Capital Allowance</v>
          </cell>
          <cell r="D25">
            <v>3596000</v>
          </cell>
        </row>
        <row r="26">
          <cell r="A26">
            <v>18</v>
          </cell>
        </row>
        <row r="27">
          <cell r="A27">
            <v>19</v>
          </cell>
          <cell r="B27" t="str">
            <v>Other  Working Capital Allowance</v>
          </cell>
          <cell r="D27">
            <v>523761</v>
          </cell>
        </row>
        <row r="28">
          <cell r="A28">
            <v>20</v>
          </cell>
        </row>
        <row r="29">
          <cell r="A29">
            <v>21</v>
          </cell>
          <cell r="B29" t="str">
            <v>Contributions in Aid of Construction</v>
          </cell>
          <cell r="D29">
            <v>-46562799</v>
          </cell>
        </row>
        <row r="30">
          <cell r="A30">
            <v>22</v>
          </cell>
        </row>
        <row r="31">
          <cell r="A31">
            <v>23</v>
          </cell>
          <cell r="B31" t="str">
            <v>Customer Advances</v>
          </cell>
          <cell r="D31">
            <v>-21380918</v>
          </cell>
        </row>
        <row r="32">
          <cell r="A32">
            <v>24</v>
          </cell>
        </row>
        <row r="33">
          <cell r="A33">
            <v>25</v>
          </cell>
          <cell r="B33" t="str">
            <v>Deferred Income Taxes</v>
          </cell>
          <cell r="D33">
            <v>-30854190</v>
          </cell>
        </row>
        <row r="34">
          <cell r="A34">
            <v>26</v>
          </cell>
        </row>
        <row r="35">
          <cell r="A35">
            <v>27</v>
          </cell>
          <cell r="B35" t="str">
            <v>Deferred Investment Tax Credits </v>
          </cell>
          <cell r="D35">
            <v>-94805</v>
          </cell>
        </row>
        <row r="36">
          <cell r="A36">
            <v>28</v>
          </cell>
        </row>
        <row r="37">
          <cell r="A37">
            <v>29</v>
          </cell>
          <cell r="B37" t="str">
            <v>Deferred Maintenance</v>
          </cell>
          <cell r="D37">
            <v>1741451</v>
          </cell>
        </row>
        <row r="38">
          <cell r="A38">
            <v>30</v>
          </cell>
        </row>
        <row r="39">
          <cell r="A39">
            <v>31</v>
          </cell>
          <cell r="B39" t="str">
            <v>Deferred Debits</v>
          </cell>
          <cell r="D39">
            <v>1897923</v>
          </cell>
        </row>
        <row r="40">
          <cell r="A40">
            <v>32</v>
          </cell>
        </row>
        <row r="41">
          <cell r="A41">
            <v>33</v>
          </cell>
          <cell r="B41" t="str">
            <v>Other Rate Base Elements</v>
          </cell>
          <cell r="D41">
            <v>-1552510.4166666667</v>
          </cell>
        </row>
        <row r="42">
          <cell r="A42">
            <v>34</v>
          </cell>
        </row>
        <row r="43">
          <cell r="A43">
            <v>45</v>
          </cell>
          <cell r="B43" t="str">
            <v>Jurisdictional Rate Base</v>
          </cell>
          <cell r="D43">
            <v>202100689.58333334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OutlineSymbols="0" view="pageLayout" workbookViewId="0" topLeftCell="C1">
      <selection activeCell="A28" sqref="A28"/>
    </sheetView>
  </sheetViews>
  <sheetFormatPr defaultColWidth="14.66015625" defaultRowHeight="10.5"/>
  <cols>
    <col min="1" max="1" width="7.16015625" style="239" customWidth="1"/>
    <col min="2" max="2" width="58.33203125" style="239" customWidth="1"/>
    <col min="3" max="3" width="17.66015625" style="239" customWidth="1"/>
    <col min="4" max="4" width="4.83203125" style="239" customWidth="1"/>
    <col min="5" max="5" width="17.66015625" style="239" customWidth="1"/>
    <col min="6" max="6" width="1.66796875" style="239" customWidth="1"/>
    <col min="7" max="7" width="16.66015625" style="239" customWidth="1"/>
    <col min="8" max="16384" width="14.66015625" style="239" customWidth="1"/>
  </cols>
  <sheetData>
    <row r="1" spans="1:7" ht="12.75">
      <c r="A1" s="294" t="s">
        <v>73</v>
      </c>
      <c r="B1" s="294"/>
      <c r="C1" s="294"/>
      <c r="D1" s="294"/>
      <c r="E1" s="294"/>
      <c r="F1" s="294"/>
      <c r="G1" s="294"/>
    </row>
    <row r="3" spans="1:7" ht="12.75">
      <c r="A3" s="295" t="s">
        <v>290</v>
      </c>
      <c r="B3" s="295"/>
      <c r="C3" s="295"/>
      <c r="D3" s="295"/>
      <c r="E3" s="295"/>
      <c r="F3" s="295"/>
      <c r="G3" s="295"/>
    </row>
    <row r="4" spans="1:7" ht="12.75">
      <c r="A4" s="294" t="s">
        <v>74</v>
      </c>
      <c r="B4" s="294"/>
      <c r="C4" s="294"/>
      <c r="D4" s="294"/>
      <c r="E4" s="294"/>
      <c r="F4" s="294"/>
      <c r="G4" s="294"/>
    </row>
    <row r="5" ht="12.75">
      <c r="A5" s="240"/>
    </row>
    <row r="6" s="241" customFormat="1" ht="12.75"/>
    <row r="7" spans="1:5" ht="12.75">
      <c r="A7" s="241"/>
      <c r="B7" s="241"/>
      <c r="C7" s="242" t="s">
        <v>119</v>
      </c>
      <c r="D7" s="241"/>
      <c r="E7" s="242" t="s">
        <v>239</v>
      </c>
    </row>
    <row r="8" spans="1:5" ht="12.75">
      <c r="A8" s="243" t="s">
        <v>63</v>
      </c>
      <c r="C8" s="242" t="s">
        <v>276</v>
      </c>
      <c r="D8" s="241"/>
      <c r="E8" s="242" t="s">
        <v>276</v>
      </c>
    </row>
    <row r="9" spans="1:7" ht="13.5" thickBot="1">
      <c r="A9" s="243" t="s">
        <v>277</v>
      </c>
      <c r="B9" s="243" t="s">
        <v>64</v>
      </c>
      <c r="C9" s="243" t="s">
        <v>278</v>
      </c>
      <c r="D9" s="241"/>
      <c r="E9" s="243" t="s">
        <v>278</v>
      </c>
      <c r="F9" s="242"/>
      <c r="G9" s="244" t="s">
        <v>279</v>
      </c>
    </row>
    <row r="10" spans="1:7" ht="12.75">
      <c r="A10" s="245">
        <v>1</v>
      </c>
      <c r="B10" s="246"/>
      <c r="C10" s="245" t="s">
        <v>280</v>
      </c>
      <c r="D10" s="242"/>
      <c r="E10" s="245" t="s">
        <v>281</v>
      </c>
      <c r="F10" s="243"/>
      <c r="G10" s="243" t="s">
        <v>282</v>
      </c>
    </row>
    <row r="11" ht="12.75">
      <c r="A11" s="243">
        <v>2</v>
      </c>
    </row>
    <row r="12" ht="12.75">
      <c r="A12" s="243">
        <v>3</v>
      </c>
    </row>
    <row r="13" spans="1:7" ht="12.75">
      <c r="A13" s="243">
        <v>4</v>
      </c>
      <c r="B13" s="239" t="s">
        <v>243</v>
      </c>
      <c r="C13" s="247">
        <f>+Electric!C48</f>
        <v>3298556021.3311253</v>
      </c>
      <c r="D13" s="248"/>
      <c r="E13" s="247">
        <f>+Electric!Z48</f>
        <v>3253546792.170473</v>
      </c>
      <c r="G13" s="255">
        <f>+E13-C13</f>
        <v>-45009229.16065216</v>
      </c>
    </row>
    <row r="14" spans="1:7" ht="12.75">
      <c r="A14" s="243">
        <v>5</v>
      </c>
      <c r="C14" s="248"/>
      <c r="D14" s="248"/>
      <c r="E14" s="248"/>
      <c r="G14" s="248"/>
    </row>
    <row r="15" spans="1:7" ht="12.75">
      <c r="A15" s="243">
        <v>6</v>
      </c>
      <c r="B15" s="239" t="s">
        <v>283</v>
      </c>
      <c r="C15" s="249">
        <f>+Electric!C46</f>
        <v>172036857.6686697</v>
      </c>
      <c r="D15" s="248"/>
      <c r="E15" s="249">
        <f>+Electric!Z46</f>
        <v>252903620.1432507</v>
      </c>
      <c r="G15" s="252">
        <f>+E15-C15</f>
        <v>80866762.474581</v>
      </c>
    </row>
    <row r="16" ht="12.75">
      <c r="A16" s="243">
        <v>7</v>
      </c>
    </row>
    <row r="17" spans="1:7" ht="12.75">
      <c r="A17" s="243">
        <v>8</v>
      </c>
      <c r="B17" s="239" t="s">
        <v>284</v>
      </c>
      <c r="C17" s="250">
        <f>ROUND(C15/C13,5)</f>
        <v>0.05216</v>
      </c>
      <c r="E17" s="250">
        <f>ROUND(E15/E13,5)</f>
        <v>0.07773</v>
      </c>
      <c r="G17" s="250"/>
    </row>
    <row r="18" ht="12.75">
      <c r="A18" s="243">
        <v>9</v>
      </c>
    </row>
    <row r="19" spans="1:7" ht="12.75">
      <c r="A19" s="243">
        <v>10</v>
      </c>
      <c r="B19" s="239" t="s">
        <v>285</v>
      </c>
      <c r="C19" s="250">
        <f>+Electric!C50</f>
        <v>0.086</v>
      </c>
      <c r="E19" s="250">
        <f>+Electric!C52</f>
        <v>0.0786</v>
      </c>
      <c r="G19" s="250"/>
    </row>
    <row r="20" ht="12.75">
      <c r="A20" s="243">
        <v>11</v>
      </c>
    </row>
    <row r="21" spans="1:7" ht="12.75">
      <c r="A21" s="243">
        <v>12</v>
      </c>
      <c r="B21" s="239" t="s">
        <v>286</v>
      </c>
      <c r="C21" s="251">
        <f>ROUND(C19*C13,0)</f>
        <v>283675818</v>
      </c>
      <c r="E21" s="251">
        <f>ROUND(E19*E13,0)</f>
        <v>255728778</v>
      </c>
      <c r="G21" s="263">
        <f>+E21-C21</f>
        <v>-27947040</v>
      </c>
    </row>
    <row r="22" ht="12.75">
      <c r="A22" s="243">
        <v>13</v>
      </c>
    </row>
    <row r="23" spans="1:7" ht="12.75">
      <c r="A23" s="243">
        <v>14</v>
      </c>
      <c r="B23" s="239" t="s">
        <v>287</v>
      </c>
      <c r="C23" s="252">
        <f>C21-C15</f>
        <v>111638960.3313303</v>
      </c>
      <c r="D23" s="253"/>
      <c r="E23" s="252">
        <f>E21-E15</f>
        <v>2825157.856749296</v>
      </c>
      <c r="G23" s="252">
        <f>-G15+G21</f>
        <v>-108813802.474581</v>
      </c>
    </row>
    <row r="24" ht="12.75">
      <c r="A24" s="243">
        <v>15</v>
      </c>
    </row>
    <row r="25" spans="1:7" ht="12.75">
      <c r="A25" s="243">
        <v>16</v>
      </c>
      <c r="B25" s="239" t="s">
        <v>288</v>
      </c>
      <c r="C25" s="254">
        <f>+'Conversion Factor'!E22</f>
        <v>1.6094323</v>
      </c>
      <c r="E25" s="254">
        <f>+'Conversion Factor'!G22</f>
        <v>1.5089154</v>
      </c>
      <c r="G25" s="291" t="s">
        <v>341</v>
      </c>
    </row>
    <row r="26" ht="12.75">
      <c r="A26" s="243">
        <v>17</v>
      </c>
    </row>
    <row r="27" spans="1:7" ht="13.5" thickBot="1">
      <c r="A27" s="243">
        <v>18</v>
      </c>
      <c r="B27" s="239" t="s">
        <v>289</v>
      </c>
      <c r="C27" s="290">
        <f>ROUND(C25*C23,1)-1</f>
        <v>179675347.7</v>
      </c>
      <c r="D27" s="253"/>
      <c r="E27" s="290">
        <f>ROUND(E25*E23,1)-1</f>
        <v>4262923.2</v>
      </c>
      <c r="G27" s="290">
        <f>+E27-C27</f>
        <v>-175412424.5</v>
      </c>
    </row>
    <row r="28" ht="13.5" thickTop="1">
      <c r="A28" s="243"/>
    </row>
    <row r="29" ht="12.75">
      <c r="A29" s="243"/>
    </row>
    <row r="30" ht="12.75">
      <c r="A30" s="243"/>
    </row>
    <row r="31" ht="12.75">
      <c r="A31" s="243"/>
    </row>
    <row r="32" ht="12.75">
      <c r="A32" s="243"/>
    </row>
    <row r="33" ht="12.75">
      <c r="A33" s="243"/>
    </row>
    <row r="34" ht="12.75">
      <c r="A34" s="243"/>
    </row>
    <row r="35" ht="12.75">
      <c r="A35" s="243"/>
    </row>
    <row r="36" ht="12.75">
      <c r="A36" s="243"/>
    </row>
    <row r="37" spans="1:3" ht="12.75">
      <c r="A37" s="243"/>
      <c r="C37" s="256"/>
    </row>
    <row r="38" spans="1:3" ht="12.75">
      <c r="A38" s="243"/>
      <c r="C38" s="256"/>
    </row>
    <row r="39" spans="1:3" ht="12.75">
      <c r="A39" s="243"/>
      <c r="C39" s="256"/>
    </row>
    <row r="40" ht="12.75">
      <c r="A40" s="243"/>
    </row>
    <row r="41" ht="12.75">
      <c r="A41" s="243"/>
    </row>
    <row r="42" ht="12.75">
      <c r="A42" s="243"/>
    </row>
    <row r="43" ht="12.75">
      <c r="A43" s="243"/>
    </row>
    <row r="44" ht="12.75">
      <c r="A44" s="243"/>
    </row>
    <row r="45" ht="12.75">
      <c r="A45" s="243"/>
    </row>
    <row r="46" ht="12.75">
      <c r="A46" s="243"/>
    </row>
    <row r="47" ht="12.75">
      <c r="A47" s="243"/>
    </row>
    <row r="48" ht="12.75">
      <c r="A48" s="243"/>
    </row>
    <row r="49" ht="12.75">
      <c r="A49" s="243"/>
    </row>
    <row r="50" ht="12.75">
      <c r="A50" s="243"/>
    </row>
    <row r="51" ht="12.75">
      <c r="A51" s="243"/>
    </row>
    <row r="52" ht="12.75">
      <c r="A52" s="243"/>
    </row>
    <row r="53" ht="12.75">
      <c r="A53" s="243"/>
    </row>
    <row r="54" ht="12.75">
      <c r="A54" s="243"/>
    </row>
    <row r="55" ht="12.75">
      <c r="A55" s="243"/>
    </row>
    <row r="56" ht="12.75">
      <c r="A56" s="243"/>
    </row>
  </sheetData>
  <sheetProtection/>
  <mergeCells count="3">
    <mergeCell ref="A1:G1"/>
    <mergeCell ref="A4:G4"/>
    <mergeCell ref="A3:G3"/>
  </mergeCells>
  <printOptions horizontalCentered="1"/>
  <pageMargins left="0.5" right="0.5" top="0.87" bottom="0.5" header="0" footer="0.25"/>
  <pageSetup fitToHeight="1" fitToWidth="1" horizontalDpi="300" verticalDpi="300" orientation="landscape" r:id="rId1"/>
  <headerFooter alignWithMargins="0">
    <oddHeader>&amp;R&amp;"Times New Roman,Regular"&amp;12Exhibit No.___(MJM-4)
Schedule 1(E)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Layout" workbookViewId="0" topLeftCell="A1">
      <selection activeCell="A1" sqref="A1:I1"/>
    </sheetView>
  </sheetViews>
  <sheetFormatPr defaultColWidth="9.33203125" defaultRowHeight="10.5"/>
  <cols>
    <col min="1" max="1" width="5.66015625" style="0" bestFit="1" customWidth="1"/>
    <col min="2" max="2" width="45.16015625" style="0" customWidth="1"/>
    <col min="3" max="3" width="14.66015625" style="0" customWidth="1"/>
    <col min="4" max="4" width="1.66796875" style="0" customWidth="1"/>
    <col min="5" max="5" width="14.66015625" style="0" customWidth="1"/>
    <col min="6" max="6" width="2.83203125" style="0" customWidth="1"/>
    <col min="7" max="7" width="14.66015625" style="0" customWidth="1"/>
    <col min="8" max="8" width="1.0078125" style="0" customWidth="1"/>
    <col min="9" max="9" width="14.66015625" style="0" customWidth="1"/>
  </cols>
  <sheetData>
    <row r="1" spans="1:9" s="73" customFormat="1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s="73" customFormat="1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3" s="73" customFormat="1" ht="12.75">
      <c r="C3" s="126"/>
    </row>
    <row r="4" spans="1:9" s="73" customFormat="1" ht="12.75">
      <c r="A4" s="294" t="s">
        <v>328</v>
      </c>
      <c r="B4" s="294"/>
      <c r="C4" s="294"/>
      <c r="D4" s="294"/>
      <c r="E4" s="294"/>
      <c r="F4" s="294"/>
      <c r="G4" s="294"/>
      <c r="H4" s="294"/>
      <c r="I4" s="301"/>
    </row>
    <row r="5" s="73" customFormat="1" ht="12.75">
      <c r="C5" s="126"/>
    </row>
    <row r="6" spans="1:9" s="73" customFormat="1" ht="12.75">
      <c r="A6" s="294" t="s">
        <v>275</v>
      </c>
      <c r="B6" s="294"/>
      <c r="C6" s="294"/>
      <c r="D6" s="294"/>
      <c r="E6" s="294"/>
      <c r="F6" s="294"/>
      <c r="G6" s="294"/>
      <c r="H6" s="294"/>
      <c r="I6" s="301"/>
    </row>
    <row r="9" spans="3:9" s="93" customFormat="1" ht="12.75">
      <c r="C9" s="302" t="s">
        <v>81</v>
      </c>
      <c r="D9" s="302"/>
      <c r="E9" s="302"/>
      <c r="G9" s="302" t="s">
        <v>82</v>
      </c>
      <c r="H9" s="302"/>
      <c r="I9" s="302"/>
    </row>
    <row r="10" spans="1:9" s="132" customFormat="1" ht="12.75">
      <c r="A10" s="132" t="s">
        <v>63</v>
      </c>
      <c r="B10" s="132" t="s">
        <v>64</v>
      </c>
      <c r="C10" s="232" t="s">
        <v>254</v>
      </c>
      <c r="D10" s="232"/>
      <c r="E10" s="232" t="s">
        <v>266</v>
      </c>
      <c r="G10" s="232" t="s">
        <v>254</v>
      </c>
      <c r="H10" s="232"/>
      <c r="I10" s="232" t="s">
        <v>266</v>
      </c>
    </row>
    <row r="11" s="93" customFormat="1" ht="12.75"/>
    <row r="12" spans="1:9" s="93" customFormat="1" ht="12.75">
      <c r="A12" s="94">
        <v>1</v>
      </c>
      <c r="B12" s="93" t="s">
        <v>256</v>
      </c>
      <c r="C12" s="212">
        <v>-49591936.75305095</v>
      </c>
      <c r="E12" s="212">
        <v>-49591936.75305095</v>
      </c>
      <c r="G12" s="212">
        <v>22389796.638425812</v>
      </c>
      <c r="I12" s="212">
        <v>22389796.638425812</v>
      </c>
    </row>
    <row r="13" s="93" customFormat="1" ht="12.75">
      <c r="A13" s="94"/>
    </row>
    <row r="14" spans="1:9" s="93" customFormat="1" ht="12.75">
      <c r="A14" s="94">
        <v>2</v>
      </c>
      <c r="B14" s="93" t="s">
        <v>262</v>
      </c>
      <c r="C14" s="230">
        <v>0.35</v>
      </c>
      <c r="E14" s="190">
        <v>0.3067</v>
      </c>
      <c r="G14" s="230">
        <v>0.35</v>
      </c>
      <c r="I14" s="190">
        <v>0.3067</v>
      </c>
    </row>
    <row r="15" spans="1:9" s="93" customFormat="1" ht="12.75">
      <c r="A15" s="94"/>
      <c r="C15" s="235"/>
      <c r="E15" s="236"/>
      <c r="G15" s="235"/>
      <c r="I15" s="236"/>
    </row>
    <row r="16" spans="1:9" s="93" customFormat="1" ht="12.75">
      <c r="A16" s="94">
        <v>3</v>
      </c>
      <c r="B16" s="93" t="s">
        <v>269</v>
      </c>
      <c r="C16" s="224">
        <f>+C12*C14</f>
        <v>-17357177.863567833</v>
      </c>
      <c r="E16" s="224">
        <f>+E12*E14</f>
        <v>-15209847.002160726</v>
      </c>
      <c r="G16" s="224">
        <f>+G12*G14</f>
        <v>7836428.823449033</v>
      </c>
      <c r="I16" s="224">
        <f>+I12*I14</f>
        <v>6866950.629005196</v>
      </c>
    </row>
    <row r="17" s="93" customFormat="1" ht="12.75">
      <c r="A17" s="94"/>
    </row>
    <row r="18" spans="1:9" s="93" customFormat="1" ht="12.75">
      <c r="A18" s="94">
        <v>4</v>
      </c>
      <c r="B18" s="93" t="s">
        <v>258</v>
      </c>
      <c r="C18" s="224">
        <v>107781393</v>
      </c>
      <c r="E18" s="224">
        <v>64084596</v>
      </c>
      <c r="G18" s="224">
        <v>43360625</v>
      </c>
      <c r="I18" s="224">
        <v>43360625</v>
      </c>
    </row>
    <row r="19" spans="1:9" s="93" customFormat="1" ht="12.75">
      <c r="A19" s="94">
        <v>5</v>
      </c>
      <c r="B19" s="93" t="s">
        <v>259</v>
      </c>
      <c r="C19" s="224">
        <v>-15735819</v>
      </c>
      <c r="E19" s="224">
        <v>-13789074</v>
      </c>
      <c r="G19" s="224">
        <v>-33624571</v>
      </c>
      <c r="I19" s="224">
        <v>-33624571</v>
      </c>
    </row>
    <row r="20" spans="1:9" s="93" customFormat="1" ht="12.75">
      <c r="A20" s="94">
        <v>6</v>
      </c>
      <c r="B20" s="93" t="s">
        <v>260</v>
      </c>
      <c r="C20" s="226">
        <v>-2338796.75</v>
      </c>
      <c r="E20" s="226">
        <v>-2338796.75</v>
      </c>
      <c r="G20" s="226">
        <v>-902422.5</v>
      </c>
      <c r="I20" s="226">
        <v>-902422.5</v>
      </c>
    </row>
    <row r="21" spans="1:9" s="93" customFormat="1" ht="12.75">
      <c r="A21" s="94">
        <v>7</v>
      </c>
      <c r="B21" s="93" t="s">
        <v>261</v>
      </c>
      <c r="C21" s="224">
        <f>SUM(C16:C20)</f>
        <v>72349599.38643217</v>
      </c>
      <c r="E21" s="224">
        <f>SUM(E16:E20)</f>
        <v>32746878.247839272</v>
      </c>
      <c r="G21" s="224">
        <f>SUM(G16:G20)</f>
        <v>16670060.32344903</v>
      </c>
      <c r="I21" s="224">
        <f>SUM(I16:I20)</f>
        <v>15700582.129005194</v>
      </c>
    </row>
    <row r="22" s="93" customFormat="1" ht="12.75">
      <c r="A22" s="94"/>
    </row>
    <row r="23" spans="1:2" s="93" customFormat="1" ht="12.75">
      <c r="A23" s="94"/>
      <c r="B23" s="93" t="s">
        <v>263</v>
      </c>
    </row>
    <row r="24" spans="1:9" s="93" customFormat="1" ht="12.75">
      <c r="A24" s="94">
        <v>8</v>
      </c>
      <c r="B24" s="93" t="s">
        <v>257</v>
      </c>
      <c r="C24" s="224">
        <v>-5105994.145963246</v>
      </c>
      <c r="E24" s="224">
        <v>-5105994.145963246</v>
      </c>
      <c r="G24" s="224">
        <v>10002284.220463246</v>
      </c>
      <c r="I24" s="224">
        <v>10002284.220463246</v>
      </c>
    </row>
    <row r="25" spans="1:9" s="93" customFormat="1" ht="12.75">
      <c r="A25" s="94">
        <v>9</v>
      </c>
      <c r="B25" s="93" t="s">
        <v>258</v>
      </c>
      <c r="C25" s="224">
        <v>130274335.6455</v>
      </c>
      <c r="E25" s="224">
        <v>130274335.6455</v>
      </c>
      <c r="G25" s="224">
        <v>48445101.3545</v>
      </c>
      <c r="I25" s="224">
        <v>48445101.3545</v>
      </c>
    </row>
    <row r="26" spans="1:9" s="93" customFormat="1" ht="12.75">
      <c r="A26" s="94">
        <v>10</v>
      </c>
      <c r="B26" s="93" t="s">
        <v>259</v>
      </c>
      <c r="C26" s="224">
        <v>-62644984.8025</v>
      </c>
      <c r="E26" s="224">
        <v>-62644984.8025</v>
      </c>
      <c r="G26" s="224">
        <v>-40948243.1975</v>
      </c>
      <c r="I26" s="224">
        <v>-40948243.1975</v>
      </c>
    </row>
    <row r="27" spans="1:9" s="93" customFormat="1" ht="12.75">
      <c r="A27" s="94">
        <v>11</v>
      </c>
      <c r="B27" s="223" t="s">
        <v>264</v>
      </c>
      <c r="C27" s="226">
        <v>0</v>
      </c>
      <c r="E27" s="226">
        <v>0</v>
      </c>
      <c r="G27" s="226">
        <v>-450709</v>
      </c>
      <c r="I27" s="226">
        <v>-450709</v>
      </c>
    </row>
    <row r="28" spans="1:9" s="93" customFormat="1" ht="12.75">
      <c r="A28" s="94">
        <v>12</v>
      </c>
      <c r="B28" s="93" t="s">
        <v>265</v>
      </c>
      <c r="C28" s="224">
        <f>SUM(C24:C27)</f>
        <v>62523356.69703675</v>
      </c>
      <c r="E28" s="224">
        <f>SUM(E24:E27)</f>
        <v>62523356.69703675</v>
      </c>
      <c r="G28" s="224">
        <f>SUM(G24:G27)</f>
        <v>17048433.37746325</v>
      </c>
      <c r="I28" s="224">
        <f>SUM(I24:I27)</f>
        <v>17048433.37746325</v>
      </c>
    </row>
    <row r="29" spans="1:9" s="93" customFormat="1" ht="12.75">
      <c r="A29" s="94"/>
      <c r="C29" s="224"/>
      <c r="E29" s="224"/>
      <c r="G29" s="224"/>
      <c r="I29" s="224"/>
    </row>
    <row r="30" spans="1:9" s="93" customFormat="1" ht="12.75">
      <c r="A30" s="94">
        <v>13</v>
      </c>
      <c r="B30" s="93" t="s">
        <v>270</v>
      </c>
      <c r="C30" s="224">
        <f>+C16-C24</f>
        <v>-12251183.717604587</v>
      </c>
      <c r="E30" s="224">
        <f>+E16-E24</f>
        <v>-10103852.85619748</v>
      </c>
      <c r="G30" s="224">
        <f>+G16-G24</f>
        <v>-2165855.397014213</v>
      </c>
      <c r="I30" s="224">
        <f>+I16-I24</f>
        <v>-3135333.5914580505</v>
      </c>
    </row>
    <row r="31" spans="1:9" s="93" customFormat="1" ht="12.75">
      <c r="A31" s="94">
        <v>14</v>
      </c>
      <c r="B31" s="93" t="s">
        <v>271</v>
      </c>
      <c r="C31" s="226">
        <f>+C18+C19+C20-C25-C26-C27</f>
        <v>22077426.406999998</v>
      </c>
      <c r="E31" s="226">
        <f>+E18+E19+E20-E25-E26-E27</f>
        <v>-19672625.593000002</v>
      </c>
      <c r="G31" s="226">
        <f>+G18+G19+G20-G25-G26-G27</f>
        <v>1787482.3429999948</v>
      </c>
      <c r="I31" s="226">
        <f>+I18+I19+I20-I25-I26-I27</f>
        <v>1787482.3429999948</v>
      </c>
    </row>
    <row r="32" spans="1:9" s="93" customFormat="1" ht="12.75">
      <c r="A32" s="94">
        <v>15</v>
      </c>
      <c r="B32" s="93" t="s">
        <v>272</v>
      </c>
      <c r="C32" s="212">
        <f>SUM(C30:C31)</f>
        <v>9826242.689395411</v>
      </c>
      <c r="E32" s="212">
        <f>SUM(E30:E31)</f>
        <v>-29776478.449197482</v>
      </c>
      <c r="G32" s="212">
        <f>SUM(G30:G31)</f>
        <v>-378373.05401421804</v>
      </c>
      <c r="I32" s="212">
        <f>SUM(I30:I31)</f>
        <v>-1347851.2484580558</v>
      </c>
    </row>
    <row r="33" s="93" customFormat="1" ht="12.75"/>
    <row r="34" spans="1:9" s="93" customFormat="1" ht="12.75">
      <c r="A34" s="94">
        <v>16</v>
      </c>
      <c r="B34" s="93" t="s">
        <v>267</v>
      </c>
      <c r="E34" s="212">
        <f>+E30-C30</f>
        <v>2147330.8614071067</v>
      </c>
      <c r="I34" s="212">
        <f>+I30-G30</f>
        <v>-969478.1944438377</v>
      </c>
    </row>
    <row r="35" spans="1:9" s="93" customFormat="1" ht="13.5" thickBot="1">
      <c r="A35" s="94">
        <v>17</v>
      </c>
      <c r="B35" s="93" t="s">
        <v>268</v>
      </c>
      <c r="E35" s="214">
        <f>+E31-C31</f>
        <v>-41750052</v>
      </c>
      <c r="I35" s="214">
        <f>+I31-G31</f>
        <v>0</v>
      </c>
    </row>
    <row r="36" s="93" customFormat="1" ht="13.5" thickTop="1"/>
    <row r="37" spans="1:9" s="93" customFormat="1" ht="25.5">
      <c r="A37" s="238">
        <v>18</v>
      </c>
      <c r="B37" s="222" t="s">
        <v>300</v>
      </c>
      <c r="E37" s="212">
        <f>+C50</f>
        <v>-2977018.91465063</v>
      </c>
      <c r="I37" s="212">
        <f>+E50</f>
        <v>1293261.6856877562</v>
      </c>
    </row>
    <row r="38" s="93" customFormat="1" ht="12.75">
      <c r="A38" s="94"/>
    </row>
    <row r="39" spans="1:9" s="93" customFormat="1" ht="13.5" thickBot="1">
      <c r="A39" s="94">
        <v>19</v>
      </c>
      <c r="B39" s="93" t="s">
        <v>295</v>
      </c>
      <c r="E39" s="214">
        <f>+E37+E34</f>
        <v>-829688.0532435235</v>
      </c>
      <c r="I39" s="214">
        <f>+I37+I34</f>
        <v>323783.4912439184</v>
      </c>
    </row>
    <row r="40" s="93" customFormat="1" ht="13.5" thickTop="1"/>
    <row r="41" s="93" customFormat="1" ht="12.75"/>
    <row r="42" s="93" customFormat="1" ht="12.75">
      <c r="A42" s="273" t="s">
        <v>72</v>
      </c>
    </row>
    <row r="43" spans="1:2" s="93" customFormat="1" ht="15" customHeight="1">
      <c r="A43" s="94" t="s">
        <v>66</v>
      </c>
      <c r="B43" s="93" t="s">
        <v>273</v>
      </c>
    </row>
    <row r="44" spans="1:9" s="93" customFormat="1" ht="15" customHeight="1">
      <c r="A44" s="238" t="s">
        <v>91</v>
      </c>
      <c r="B44" s="303" t="s">
        <v>274</v>
      </c>
      <c r="C44" s="303"/>
      <c r="D44" s="303"/>
      <c r="E44" s="303"/>
      <c r="F44" s="303"/>
      <c r="G44" s="303"/>
      <c r="H44" s="303"/>
      <c r="I44" s="303"/>
    </row>
    <row r="45" spans="1:5" s="93" customFormat="1" ht="18" customHeight="1">
      <c r="A45" s="94" t="s">
        <v>114</v>
      </c>
      <c r="C45" s="231" t="s">
        <v>81</v>
      </c>
      <c r="D45" s="94"/>
      <c r="E45" s="231" t="s">
        <v>82</v>
      </c>
    </row>
    <row r="46" spans="2:5" s="93" customFormat="1" ht="12.75">
      <c r="B46" s="93" t="s">
        <v>296</v>
      </c>
      <c r="C46" s="212">
        <v>-36314847</v>
      </c>
      <c r="E46" s="212">
        <v>8287761</v>
      </c>
    </row>
    <row r="47" spans="2:5" s="93" customFormat="1" ht="12.75">
      <c r="B47" s="93" t="s">
        <v>297</v>
      </c>
      <c r="C47" s="226">
        <f>-C30</f>
        <v>12251183.717604587</v>
      </c>
      <c r="E47" s="226">
        <f>-G30</f>
        <v>2165855.397014213</v>
      </c>
    </row>
    <row r="48" spans="2:5" s="93" customFormat="1" ht="12.75">
      <c r="B48" s="93" t="s">
        <v>298</v>
      </c>
      <c r="C48" s="212">
        <f>SUM(C46:C47)</f>
        <v>-24063663.282395415</v>
      </c>
      <c r="E48" s="212">
        <f>SUM(E46:E47)</f>
        <v>10453616.397014212</v>
      </c>
    </row>
    <row r="49" spans="2:5" s="93" customFormat="1" ht="12.75">
      <c r="B49" s="93" t="s">
        <v>299</v>
      </c>
      <c r="C49" s="272">
        <f>+C48*(30.67%/35%)</f>
        <v>-21086644.367744785</v>
      </c>
      <c r="E49" s="272">
        <f>+E48*(30.67%/35%)</f>
        <v>9160354.711326456</v>
      </c>
    </row>
    <row r="50" spans="2:5" s="93" customFormat="1" ht="12.75">
      <c r="B50" s="93" t="s">
        <v>122</v>
      </c>
      <c r="C50" s="212">
        <f>+C48-C49</f>
        <v>-2977018.91465063</v>
      </c>
      <c r="E50" s="212">
        <f>+E48-E49</f>
        <v>1293261.6856877562</v>
      </c>
    </row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25.5" customHeight="1"/>
    <row r="68" s="93" customFormat="1" ht="12.75"/>
    <row r="69" s="93" customFormat="1" ht="12.75"/>
    <row r="70" s="93" customFormat="1" ht="12.75"/>
    <row r="71" s="93" customFormat="1" ht="12.75"/>
    <row r="72" s="93" customFormat="1" ht="12.75"/>
  </sheetData>
  <sheetProtection/>
  <mergeCells count="7">
    <mergeCell ref="C9:E9"/>
    <mergeCell ref="G9:I9"/>
    <mergeCell ref="B44:I44"/>
    <mergeCell ref="A1:I1"/>
    <mergeCell ref="A2:I2"/>
    <mergeCell ref="A4:I4"/>
    <mergeCell ref="A6:I6"/>
  </mergeCells>
  <printOptions horizontalCentered="1"/>
  <pageMargins left="0.75" right="0.37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5 of 16&amp;R&amp;"Times New Roman,Regular"&amp;10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Layout" workbookViewId="0" topLeftCell="A1">
      <selection activeCell="B32" sqref="B32"/>
    </sheetView>
  </sheetViews>
  <sheetFormatPr defaultColWidth="10.66015625" defaultRowHeight="10.5"/>
  <cols>
    <col min="1" max="1" width="5.83203125" style="161" customWidth="1"/>
    <col min="2" max="2" width="53" style="161" customWidth="1"/>
    <col min="3" max="3" width="1.0078125" style="161" customWidth="1"/>
    <col min="4" max="4" width="18.33203125" style="161" customWidth="1"/>
    <col min="5" max="244" width="12" style="161" customWidth="1"/>
    <col min="245" max="16384" width="10.66015625" style="161" customWidth="1"/>
  </cols>
  <sheetData>
    <row r="1" spans="1:4" s="73" customFormat="1" ht="12.75">
      <c r="A1" s="294" t="s">
        <v>73</v>
      </c>
      <c r="B1" s="294"/>
      <c r="C1" s="294"/>
      <c r="D1" s="294"/>
    </row>
    <row r="2" spans="1:4" s="73" customFormat="1" ht="12.75">
      <c r="A2" s="294" t="s">
        <v>74</v>
      </c>
      <c r="B2" s="294"/>
      <c r="C2" s="294"/>
      <c r="D2" s="294"/>
    </row>
    <row r="3" s="73" customFormat="1" ht="12.75">
      <c r="C3" s="126"/>
    </row>
    <row r="4" spans="1:4" s="73" customFormat="1" ht="12.75">
      <c r="A4" s="294" t="s">
        <v>329</v>
      </c>
      <c r="B4" s="294"/>
      <c r="C4" s="294"/>
      <c r="D4" s="294"/>
    </row>
    <row r="5" s="73" customFormat="1" ht="12.75">
      <c r="C5" s="126"/>
    </row>
    <row r="6" spans="1:4" s="73" customFormat="1" ht="12.75">
      <c r="A6" s="301" t="s">
        <v>229</v>
      </c>
      <c r="B6" s="301"/>
      <c r="C6" s="301"/>
      <c r="D6" s="301"/>
    </row>
    <row r="7" spans="1:3" s="73" customFormat="1" ht="12.75">
      <c r="A7" s="167"/>
      <c r="B7" s="167"/>
      <c r="C7" s="167"/>
    </row>
    <row r="8" spans="2:4" s="139" customFormat="1" ht="15" customHeight="1">
      <c r="B8" s="141"/>
      <c r="C8" s="77"/>
      <c r="D8" s="79"/>
    </row>
    <row r="9" spans="1:4" s="170" customFormat="1" ht="15" customHeight="1">
      <c r="A9" s="74" t="s">
        <v>63</v>
      </c>
      <c r="B9" s="74" t="s">
        <v>64</v>
      </c>
      <c r="C9" s="74"/>
      <c r="D9" s="75" t="s">
        <v>65</v>
      </c>
    </row>
    <row r="10" spans="1:4" ht="12.75">
      <c r="A10" s="160"/>
      <c r="B10" s="160"/>
      <c r="C10" s="160"/>
      <c r="D10" s="160"/>
    </row>
    <row r="11" spans="1:4" ht="27" customHeight="1">
      <c r="A11" s="160"/>
      <c r="B11" s="303" t="s">
        <v>230</v>
      </c>
      <c r="C11" s="304"/>
      <c r="D11" s="304"/>
    </row>
    <row r="12" spans="1:4" s="139" customFormat="1" ht="15" customHeight="1">
      <c r="A12" s="143"/>
      <c r="C12" s="155"/>
      <c r="D12" s="144"/>
    </row>
    <row r="13" spans="1:4" s="139" customFormat="1" ht="15" customHeight="1">
      <c r="A13" s="143">
        <v>1</v>
      </c>
      <c r="B13" s="73" t="s">
        <v>232</v>
      </c>
      <c r="C13" s="162"/>
      <c r="D13" s="171">
        <v>2974845.92513505</v>
      </c>
    </row>
    <row r="14" s="139" customFormat="1" ht="12.75">
      <c r="C14" s="140"/>
    </row>
    <row r="15" spans="1:5" s="73" customFormat="1" ht="12.75">
      <c r="A15" s="77">
        <v>2</v>
      </c>
      <c r="B15" s="73" t="s">
        <v>231</v>
      </c>
      <c r="C15" s="83"/>
      <c r="D15" s="219">
        <f>+D13/2</f>
        <v>1487422.962567525</v>
      </c>
      <c r="E15" s="80"/>
    </row>
    <row r="16" spans="1:4" s="73" customFormat="1" ht="12.75">
      <c r="A16" s="77"/>
      <c r="C16" s="83"/>
      <c r="D16" s="82"/>
    </row>
    <row r="17" spans="1:4" s="73" customFormat="1" ht="12.75">
      <c r="A17" s="77">
        <v>3</v>
      </c>
      <c r="B17" s="73" t="s">
        <v>240</v>
      </c>
      <c r="C17" s="83"/>
      <c r="D17" s="221">
        <f>+D13/7</f>
        <v>424977.98930500716</v>
      </c>
    </row>
    <row r="18" spans="1:4" s="73" customFormat="1" ht="12.75">
      <c r="A18" s="77"/>
      <c r="C18" s="83"/>
      <c r="D18" s="84"/>
    </row>
    <row r="19" spans="1:4" s="73" customFormat="1" ht="12.75">
      <c r="A19" s="77">
        <v>4</v>
      </c>
      <c r="B19" s="73" t="s">
        <v>241</v>
      </c>
      <c r="C19" s="83"/>
      <c r="D19" s="220">
        <f>+D17-D15</f>
        <v>-1062444.9732625177</v>
      </c>
    </row>
    <row r="20" spans="1:4" s="73" customFormat="1" ht="12.75">
      <c r="A20" s="77"/>
      <c r="C20" s="83"/>
      <c r="D20" s="84"/>
    </row>
    <row r="21" spans="1:4" s="73" customFormat="1" ht="12.75">
      <c r="A21" s="77">
        <v>5</v>
      </c>
      <c r="B21" s="73" t="s">
        <v>67</v>
      </c>
      <c r="C21" s="83"/>
      <c r="D21" s="84">
        <v>0.3067</v>
      </c>
    </row>
    <row r="22" spans="1:4" s="73" customFormat="1" ht="12.75">
      <c r="A22" s="77"/>
      <c r="C22" s="83"/>
      <c r="D22" s="84"/>
    </row>
    <row r="23" spans="1:5" s="73" customFormat="1" ht="12.75">
      <c r="A23" s="77">
        <v>6</v>
      </c>
      <c r="B23" s="73" t="s">
        <v>233</v>
      </c>
      <c r="C23" s="83"/>
      <c r="D23" s="86">
        <f>-D19*D21</f>
        <v>325851.8732996142</v>
      </c>
      <c r="E23" s="82"/>
    </row>
    <row r="24" spans="3:4" s="73" customFormat="1" ht="12.75">
      <c r="C24" s="83"/>
      <c r="D24" s="84"/>
    </row>
    <row r="25" spans="1:9" s="73" customFormat="1" ht="12.75">
      <c r="A25" s="77">
        <v>7</v>
      </c>
      <c r="B25" s="73" t="s">
        <v>234</v>
      </c>
      <c r="C25" s="83"/>
      <c r="D25" s="96">
        <f>+D19+D23</f>
        <v>-736593.0999629035</v>
      </c>
      <c r="E25" s="96"/>
      <c r="I25" s="99"/>
    </row>
    <row r="26" spans="1:4" s="73" customFormat="1" ht="12.75">
      <c r="A26" s="77"/>
      <c r="C26" s="83"/>
      <c r="D26" s="82"/>
    </row>
    <row r="27" spans="1:4" s="73" customFormat="1" ht="12.75">
      <c r="A27" s="77">
        <v>8</v>
      </c>
      <c r="B27" s="73" t="s">
        <v>70</v>
      </c>
      <c r="C27" s="83"/>
      <c r="D27" s="128">
        <f>+'Conversion Factor'!G22</f>
        <v>1.5089154</v>
      </c>
    </row>
    <row r="28" spans="3:4" s="73" customFormat="1" ht="12.75">
      <c r="C28" s="83"/>
      <c r="D28" s="82"/>
    </row>
    <row r="29" spans="1:5" s="73" customFormat="1" ht="12.75">
      <c r="A29" s="77">
        <v>9</v>
      </c>
      <c r="B29" s="73" t="s">
        <v>235</v>
      </c>
      <c r="C29" s="83"/>
      <c r="D29" s="96">
        <f>+D27*D25</f>
        <v>-1111456.6720677647</v>
      </c>
      <c r="E29" s="96"/>
    </row>
    <row r="30" spans="1:4" ht="12.75">
      <c r="A30" s="160"/>
      <c r="B30" s="160"/>
      <c r="C30" s="160"/>
      <c r="D30" s="160"/>
    </row>
    <row r="31" spans="1:4" ht="12.75">
      <c r="A31" s="160"/>
      <c r="B31" s="160"/>
      <c r="C31" s="160"/>
      <c r="D31" s="160"/>
    </row>
    <row r="35" ht="12.75">
      <c r="A35" s="159" t="s">
        <v>238</v>
      </c>
    </row>
    <row r="36" spans="1:2" s="93" customFormat="1" ht="12.75">
      <c r="A36" s="215" t="s">
        <v>236</v>
      </c>
      <c r="B36" s="93" t="s">
        <v>237</v>
      </c>
    </row>
    <row r="37" spans="1:3" ht="12.75">
      <c r="A37" s="157"/>
      <c r="C37" s="166"/>
    </row>
  </sheetData>
  <sheetProtection/>
  <mergeCells count="5">
    <mergeCell ref="B11:D11"/>
    <mergeCell ref="A1:D1"/>
    <mergeCell ref="A2:D2"/>
    <mergeCell ref="A4:D4"/>
    <mergeCell ref="A6:D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6 of 16&amp;R&amp;"Times New Roman,Regular"&amp;10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Layout" workbookViewId="0" topLeftCell="A1">
      <selection activeCell="A6" sqref="A6:G6"/>
    </sheetView>
  </sheetViews>
  <sheetFormatPr defaultColWidth="10.33203125" defaultRowHeight="10.5"/>
  <cols>
    <col min="1" max="1" width="6.5" style="139" bestFit="1" customWidth="1"/>
    <col min="2" max="2" width="46.33203125" style="139" bestFit="1" customWidth="1"/>
    <col min="3" max="3" width="16.16015625" style="139" customWidth="1"/>
    <col min="4" max="4" width="2.5" style="140" customWidth="1"/>
    <col min="5" max="5" width="15.83203125" style="139" customWidth="1"/>
    <col min="6" max="6" width="3" style="139" customWidth="1"/>
    <col min="7" max="7" width="14.66015625" style="139" customWidth="1"/>
    <col min="8" max="8" width="1.83203125" style="139" customWidth="1"/>
    <col min="9" max="9" width="17.33203125" style="139" bestFit="1" customWidth="1"/>
    <col min="10" max="16384" width="10.33203125" style="139" customWidth="1"/>
  </cols>
  <sheetData>
    <row r="1" spans="1:9" s="73" customFormat="1" ht="12.75">
      <c r="A1" s="294" t="s">
        <v>73</v>
      </c>
      <c r="B1" s="294"/>
      <c r="C1" s="294"/>
      <c r="D1" s="294"/>
      <c r="E1" s="294"/>
      <c r="F1" s="294"/>
      <c r="G1" s="294"/>
      <c r="H1" s="294"/>
      <c r="I1" s="294"/>
    </row>
    <row r="2" spans="1:9" s="73" customFormat="1" ht="12.75">
      <c r="A2" s="294" t="s">
        <v>74</v>
      </c>
      <c r="B2" s="294"/>
      <c r="C2" s="294"/>
      <c r="D2" s="294"/>
      <c r="E2" s="294"/>
      <c r="F2" s="294"/>
      <c r="G2" s="294"/>
      <c r="H2" s="294"/>
      <c r="I2" s="294"/>
    </row>
    <row r="3" spans="5:7" s="73" customFormat="1" ht="12.75">
      <c r="E3" s="126"/>
      <c r="F3" s="126"/>
      <c r="G3" s="126"/>
    </row>
    <row r="4" spans="1:7" s="73" customFormat="1" ht="12.75">
      <c r="A4" s="294" t="s">
        <v>330</v>
      </c>
      <c r="B4" s="294"/>
      <c r="C4" s="294"/>
      <c r="D4" s="294"/>
      <c r="E4" s="294"/>
      <c r="F4" s="294"/>
      <c r="G4" s="294"/>
    </row>
    <row r="5" spans="5:7" s="73" customFormat="1" ht="12.75">
      <c r="E5" s="126"/>
      <c r="F5" s="126"/>
      <c r="G5" s="126"/>
    </row>
    <row r="6" spans="1:7" s="73" customFormat="1" ht="12.75">
      <c r="A6" s="294" t="s">
        <v>221</v>
      </c>
      <c r="B6" s="294"/>
      <c r="C6" s="294"/>
      <c r="D6" s="294"/>
      <c r="E6" s="294"/>
      <c r="F6" s="294"/>
      <c r="G6" s="294"/>
    </row>
    <row r="7" spans="1:7" s="73" customFormat="1" ht="12.75">
      <c r="A7" s="138"/>
      <c r="B7" s="138"/>
      <c r="C7" s="138"/>
      <c r="D7" s="138"/>
      <c r="E7" s="138"/>
      <c r="F7" s="138"/>
      <c r="G7" s="138"/>
    </row>
    <row r="8" spans="1:7" s="73" customFormat="1" ht="12.75">
      <c r="A8" s="138"/>
      <c r="B8" s="138"/>
      <c r="C8" s="138"/>
      <c r="D8" s="138"/>
      <c r="E8" s="138"/>
      <c r="F8" s="138"/>
      <c r="G8" s="138"/>
    </row>
    <row r="9" spans="1:9" ht="15" customHeight="1">
      <c r="A9" s="141"/>
      <c r="B9" s="142"/>
      <c r="C9" s="79" t="s">
        <v>119</v>
      </c>
      <c r="D9" s="77"/>
      <c r="E9" s="79" t="s">
        <v>239</v>
      </c>
      <c r="F9" s="77"/>
      <c r="G9" s="79" t="s">
        <v>239</v>
      </c>
      <c r="I9" s="79" t="s">
        <v>239</v>
      </c>
    </row>
    <row r="10" spans="2:9" ht="15" customHeight="1">
      <c r="B10" s="141"/>
      <c r="C10" s="79" t="s">
        <v>120</v>
      </c>
      <c r="D10" s="77"/>
      <c r="E10" s="79" t="s">
        <v>120</v>
      </c>
      <c r="F10" s="77"/>
      <c r="G10" s="79" t="s">
        <v>122</v>
      </c>
      <c r="I10" s="79" t="s">
        <v>122</v>
      </c>
    </row>
    <row r="11" spans="1:9" s="170" customFormat="1" ht="15" customHeight="1">
      <c r="A11" s="74" t="s">
        <v>63</v>
      </c>
      <c r="B11" s="74" t="s">
        <v>64</v>
      </c>
      <c r="C11" s="75" t="s">
        <v>184</v>
      </c>
      <c r="D11" s="74"/>
      <c r="E11" s="75" t="s">
        <v>185</v>
      </c>
      <c r="F11" s="91"/>
      <c r="G11" s="75" t="s">
        <v>81</v>
      </c>
      <c r="I11" s="75" t="s">
        <v>82</v>
      </c>
    </row>
    <row r="12" spans="1:5" ht="15" customHeight="1">
      <c r="A12" s="145"/>
      <c r="B12" s="145"/>
      <c r="C12" s="145"/>
      <c r="D12" s="146"/>
      <c r="E12" s="145"/>
    </row>
    <row r="13" spans="1:9" ht="15" customHeight="1">
      <c r="A13" s="143"/>
      <c r="B13" s="109" t="s">
        <v>222</v>
      </c>
      <c r="C13" s="144"/>
      <c r="D13" s="155"/>
      <c r="E13" s="144"/>
      <c r="G13" s="144"/>
      <c r="I13" s="144"/>
    </row>
    <row r="14" spans="1:9" ht="15" customHeight="1">
      <c r="A14" s="143">
        <v>1</v>
      </c>
      <c r="B14" s="156" t="s">
        <v>223</v>
      </c>
      <c r="C14" s="148">
        <v>153209810</v>
      </c>
      <c r="D14" s="149"/>
      <c r="E14" s="149">
        <v>131355979.53</v>
      </c>
      <c r="G14" s="149">
        <f>+E14-C14</f>
        <v>-21853830.47</v>
      </c>
      <c r="I14" s="149"/>
    </row>
    <row r="15" spans="1:9" ht="12.75">
      <c r="A15" s="143">
        <v>2</v>
      </c>
      <c r="B15" s="156" t="s">
        <v>224</v>
      </c>
      <c r="C15" s="135">
        <v>79599749</v>
      </c>
      <c r="D15" s="120"/>
      <c r="E15" s="135">
        <v>59219229.24743432</v>
      </c>
      <c r="G15" s="210"/>
      <c r="I15" s="129">
        <f>+E15-C15</f>
        <v>-20380519.752565682</v>
      </c>
    </row>
    <row r="16" ht="12.75">
      <c r="A16" s="143"/>
    </row>
    <row r="17" spans="1:9" s="73" customFormat="1" ht="12.75">
      <c r="A17" s="143">
        <v>3</v>
      </c>
      <c r="B17" s="73" t="s">
        <v>78</v>
      </c>
      <c r="D17" s="83"/>
      <c r="E17" s="96"/>
      <c r="F17" s="96"/>
      <c r="G17" s="96">
        <f>+G14</f>
        <v>-21853830.47</v>
      </c>
      <c r="H17" s="80"/>
      <c r="I17" s="96">
        <f>+I15</f>
        <v>-20380519.752565682</v>
      </c>
    </row>
    <row r="18" spans="1:9" s="73" customFormat="1" ht="12.75">
      <c r="A18" s="143"/>
      <c r="D18" s="83"/>
      <c r="E18" s="82"/>
      <c r="F18" s="82"/>
      <c r="G18" s="83"/>
      <c r="I18" s="83"/>
    </row>
    <row r="19" spans="1:9" s="73" customFormat="1" ht="12.75">
      <c r="A19" s="143">
        <v>4</v>
      </c>
      <c r="B19" s="73" t="s">
        <v>67</v>
      </c>
      <c r="D19" s="83"/>
      <c r="E19" s="190">
        <v>0.3067</v>
      </c>
      <c r="F19" s="84" t="s">
        <v>114</v>
      </c>
      <c r="G19" s="83"/>
      <c r="I19" s="83"/>
    </row>
    <row r="20" spans="1:9" s="73" customFormat="1" ht="12.75">
      <c r="A20" s="143"/>
      <c r="D20" s="83"/>
      <c r="E20" s="84"/>
      <c r="F20" s="84"/>
      <c r="G20" s="83"/>
      <c r="I20" s="83"/>
    </row>
    <row r="21" spans="1:9" s="73" customFormat="1" ht="12.75">
      <c r="A21" s="143">
        <v>5</v>
      </c>
      <c r="B21" s="73" t="s">
        <v>79</v>
      </c>
      <c r="D21" s="83"/>
      <c r="E21" s="82"/>
      <c r="F21" s="82"/>
      <c r="G21" s="86">
        <f>-G17*E19</f>
        <v>6702569.805148999</v>
      </c>
      <c r="H21" s="82"/>
      <c r="I21" s="86">
        <f>-I17*E19</f>
        <v>6250705.4081118945</v>
      </c>
    </row>
    <row r="22" spans="1:9" s="73" customFormat="1" ht="12.75">
      <c r="A22" s="143"/>
      <c r="D22" s="83"/>
      <c r="E22" s="84"/>
      <c r="F22" s="84"/>
      <c r="G22" s="83"/>
      <c r="I22" s="83"/>
    </row>
    <row r="23" spans="1:12" s="73" customFormat="1" ht="13.5" thickBot="1">
      <c r="A23" s="143">
        <v>6</v>
      </c>
      <c r="B23" s="73" t="s">
        <v>183</v>
      </c>
      <c r="D23" s="83"/>
      <c r="E23" s="96"/>
      <c r="F23" s="96"/>
      <c r="G23" s="87">
        <f>+G17+G21</f>
        <v>-15151260.664850999</v>
      </c>
      <c r="H23" s="96"/>
      <c r="I23" s="87">
        <f>+I17+I21</f>
        <v>-14129814.344453787</v>
      </c>
      <c r="L23" s="99"/>
    </row>
    <row r="24" spans="1:9" s="73" customFormat="1" ht="13.5" thickTop="1">
      <c r="A24" s="143"/>
      <c r="D24" s="83"/>
      <c r="E24" s="82"/>
      <c r="F24" s="82"/>
      <c r="G24" s="83"/>
      <c r="I24" s="83"/>
    </row>
    <row r="25" spans="1:9" s="73" customFormat="1" ht="12.75">
      <c r="A25" s="143">
        <v>7</v>
      </c>
      <c r="B25" s="73" t="s">
        <v>70</v>
      </c>
      <c r="D25" s="83"/>
      <c r="E25" s="128"/>
      <c r="F25" s="128"/>
      <c r="G25" s="83">
        <f>+'Conversion Factor'!G22</f>
        <v>1.5089154</v>
      </c>
      <c r="I25" s="83">
        <f>+'Conversion Factor'!G40</f>
        <v>1.50749</v>
      </c>
    </row>
    <row r="26" spans="1:9" s="73" customFormat="1" ht="12.75">
      <c r="A26" s="143"/>
      <c r="D26" s="83"/>
      <c r="E26" s="82"/>
      <c r="F26" s="82"/>
      <c r="G26" s="83"/>
      <c r="I26" s="83"/>
    </row>
    <row r="27" spans="1:9" s="73" customFormat="1" ht="13.5" thickBot="1">
      <c r="A27" s="143">
        <v>8</v>
      </c>
      <c r="B27" s="73" t="s">
        <v>101</v>
      </c>
      <c r="C27" s="83"/>
      <c r="D27" s="83"/>
      <c r="E27" s="96"/>
      <c r="F27" s="96"/>
      <c r="G27" s="87">
        <f>+G23*G25</f>
        <v>-22861970.54660791</v>
      </c>
      <c r="H27" s="96"/>
      <c r="I27" s="87">
        <f>+I23*I25</f>
        <v>-21300553.82612064</v>
      </c>
    </row>
    <row r="28" spans="1:7" s="93" customFormat="1" ht="13.5" thickTop="1">
      <c r="A28" s="143"/>
      <c r="E28" s="169"/>
      <c r="F28" s="126"/>
      <c r="G28" s="126"/>
    </row>
    <row r="29" spans="1:7" s="93" customFormat="1" ht="12.75">
      <c r="A29" s="143"/>
      <c r="E29" s="169"/>
      <c r="F29" s="126"/>
      <c r="G29" s="126"/>
    </row>
    <row r="30" spans="1:7" s="93" customFormat="1" ht="12.75">
      <c r="A30" s="143"/>
      <c r="E30" s="169"/>
      <c r="F30" s="126"/>
      <c r="G30" s="126"/>
    </row>
    <row r="31" spans="1:2" ht="15" customHeight="1">
      <c r="A31" s="143"/>
      <c r="B31" s="109" t="s">
        <v>123</v>
      </c>
    </row>
    <row r="32" spans="1:9" ht="15" customHeight="1">
      <c r="A32" s="143">
        <v>9</v>
      </c>
      <c r="B32" s="211" t="s">
        <v>225</v>
      </c>
      <c r="C32" s="148"/>
      <c r="D32" s="149"/>
      <c r="E32" s="149"/>
      <c r="G32" s="168">
        <f>-G17*0.5</f>
        <v>10926915.235</v>
      </c>
      <c r="I32" s="168">
        <f>-I17*0.5</f>
        <v>10190259.876282841</v>
      </c>
    </row>
    <row r="33" spans="1:7" s="93" customFormat="1" ht="12.75">
      <c r="A33" s="143"/>
      <c r="E33" s="169"/>
      <c r="F33" s="126"/>
      <c r="G33" s="126"/>
    </row>
    <row r="34" spans="1:9" s="93" customFormat="1" ht="13.5" thickBot="1">
      <c r="A34" s="143">
        <v>10</v>
      </c>
      <c r="B34" s="93" t="s">
        <v>305</v>
      </c>
      <c r="E34" s="169"/>
      <c r="F34" s="126"/>
      <c r="G34" s="213">
        <f>+G32</f>
        <v>10926915.235</v>
      </c>
      <c r="I34" s="214">
        <f>+I32</f>
        <v>10190259.876282841</v>
      </c>
    </row>
    <row r="35" spans="5:7" s="93" customFormat="1" ht="13.5" thickTop="1">
      <c r="E35" s="169"/>
      <c r="F35" s="126"/>
      <c r="G35" s="126"/>
    </row>
    <row r="36" spans="1:4" s="157" customFormat="1" ht="12.75">
      <c r="A36" s="159" t="s">
        <v>72</v>
      </c>
      <c r="D36" s="158"/>
    </row>
    <row r="37" spans="1:4" s="157" customFormat="1" ht="12.75">
      <c r="A37" s="215" t="s">
        <v>66</v>
      </c>
      <c r="B37" s="157" t="s">
        <v>226</v>
      </c>
      <c r="D37" s="158"/>
    </row>
    <row r="38" spans="1:4" s="157" customFormat="1" ht="12.75">
      <c r="A38" s="215" t="s">
        <v>91</v>
      </c>
      <c r="B38" s="157" t="s">
        <v>227</v>
      </c>
      <c r="D38" s="158"/>
    </row>
    <row r="39" spans="1:4" s="157" customFormat="1" ht="12.75">
      <c r="A39" s="215" t="s">
        <v>114</v>
      </c>
      <c r="B39" s="157" t="s">
        <v>228</v>
      </c>
      <c r="D39" s="158"/>
    </row>
  </sheetData>
  <sheetProtection/>
  <mergeCells count="4">
    <mergeCell ref="A4:G4"/>
    <mergeCell ref="A6:G6"/>
    <mergeCell ref="A1:I1"/>
    <mergeCell ref="A2:I2"/>
  </mergeCells>
  <printOptions horizontalCentered="1"/>
  <pageMargins left="0.75" right="0.57" top="1" bottom="1" header="0.5" footer="0.5"/>
  <pageSetup fitToHeight="1" fitToWidth="1" horizontalDpi="600" verticalDpi="600" orientation="portrait" scale="93" r:id="rId1"/>
  <headerFooter alignWithMargins="0">
    <oddHeader>&amp;C&amp;"Times New Roman,Regular"&amp;10Schedule 4 (E &amp;&amp; G)
Page 7 of 16&amp;R&amp;"Times New Roman,Regular"&amp;10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Layout" workbookViewId="0" topLeftCell="C1">
      <selection activeCell="A4" sqref="A4:K4"/>
    </sheetView>
  </sheetViews>
  <sheetFormatPr defaultColWidth="10.66015625" defaultRowHeight="10.5"/>
  <cols>
    <col min="1" max="1" width="6.5" style="172" customWidth="1"/>
    <col min="2" max="2" width="24.16015625" style="173" customWidth="1"/>
    <col min="3" max="3" width="15.83203125" style="173" customWidth="1"/>
    <col min="4" max="4" width="4.33203125" style="173" bestFit="1" customWidth="1"/>
    <col min="5" max="5" width="10.66015625" style="173" customWidth="1"/>
    <col min="6" max="6" width="1.3359375" style="173" customWidth="1"/>
    <col min="7" max="7" width="16.33203125" style="174" bestFit="1" customWidth="1"/>
    <col min="8" max="8" width="1.5" style="173" customWidth="1"/>
    <col min="9" max="9" width="12.83203125" style="173" customWidth="1"/>
    <col min="10" max="10" width="1.5" style="173" customWidth="1"/>
    <col min="11" max="11" width="12.83203125" style="173" customWidth="1"/>
    <col min="12" max="12" width="2.83203125" style="173" customWidth="1"/>
    <col min="13" max="16384" width="10.66015625" style="173" customWidth="1"/>
  </cols>
  <sheetData>
    <row r="1" spans="1:11" s="73" customFormat="1" ht="12.75">
      <c r="A1" s="294" t="s">
        <v>73</v>
      </c>
      <c r="B1" s="294"/>
      <c r="C1" s="294"/>
      <c r="D1" s="294"/>
      <c r="E1" s="294"/>
      <c r="F1" s="294"/>
      <c r="G1" s="294"/>
      <c r="H1" s="294"/>
      <c r="I1" s="294"/>
      <c r="J1" s="294"/>
      <c r="K1" s="301"/>
    </row>
    <row r="2" spans="1:11" s="73" customFormat="1" ht="12.75">
      <c r="A2" s="294" t="s">
        <v>74</v>
      </c>
      <c r="B2" s="294"/>
      <c r="C2" s="294"/>
      <c r="D2" s="294"/>
      <c r="E2" s="294"/>
      <c r="F2" s="294"/>
      <c r="G2" s="294"/>
      <c r="H2" s="294"/>
      <c r="I2" s="294"/>
      <c r="J2" s="294"/>
      <c r="K2" s="301"/>
    </row>
    <row r="3" spans="4:7" s="73" customFormat="1" ht="12.75">
      <c r="D3" s="76"/>
      <c r="E3" s="77"/>
      <c r="F3" s="77"/>
      <c r="G3" s="77"/>
    </row>
    <row r="4" spans="1:11" s="73" customFormat="1" ht="12.75">
      <c r="A4" s="294" t="s">
        <v>331</v>
      </c>
      <c r="B4" s="294"/>
      <c r="C4" s="294"/>
      <c r="D4" s="294"/>
      <c r="E4" s="294"/>
      <c r="F4" s="294"/>
      <c r="G4" s="294"/>
      <c r="H4" s="294"/>
      <c r="I4" s="294"/>
      <c r="J4" s="294"/>
      <c r="K4" s="301"/>
    </row>
    <row r="5" spans="4:7" s="73" customFormat="1" ht="12.75">
      <c r="D5" s="76"/>
      <c r="E5" s="77"/>
      <c r="F5" s="77"/>
      <c r="G5" s="77"/>
    </row>
    <row r="6" spans="1:11" s="73" customFormat="1" ht="12.75">
      <c r="A6" s="294" t="s">
        <v>188</v>
      </c>
      <c r="B6" s="294"/>
      <c r="C6" s="294"/>
      <c r="D6" s="294"/>
      <c r="E6" s="294"/>
      <c r="F6" s="294"/>
      <c r="G6" s="294"/>
      <c r="H6" s="294"/>
      <c r="I6" s="294"/>
      <c r="J6" s="294"/>
      <c r="K6" s="301"/>
    </row>
    <row r="7" spans="4:7" s="73" customFormat="1" ht="12.75">
      <c r="D7" s="76"/>
      <c r="E7" s="77"/>
      <c r="F7" s="77"/>
      <c r="G7" s="77"/>
    </row>
    <row r="8" spans="4:7" s="73" customFormat="1" ht="12.75">
      <c r="D8" s="76"/>
      <c r="E8" s="77"/>
      <c r="F8" s="77"/>
      <c r="G8" s="77"/>
    </row>
    <row r="9" spans="4:7" s="73" customFormat="1" ht="12.75">
      <c r="D9" s="76"/>
      <c r="E9" s="77"/>
      <c r="F9" s="77"/>
      <c r="G9" s="77"/>
    </row>
    <row r="10" spans="4:7" s="73" customFormat="1" ht="12.75">
      <c r="D10" s="79" t="s">
        <v>18</v>
      </c>
      <c r="E10" s="77"/>
      <c r="F10" s="77"/>
      <c r="G10" s="77"/>
    </row>
    <row r="11" spans="1:4" s="74" customFormat="1" ht="12.75">
      <c r="A11" s="74" t="s">
        <v>63</v>
      </c>
      <c r="B11" s="74" t="s">
        <v>64</v>
      </c>
      <c r="D11" s="75" t="s">
        <v>65</v>
      </c>
    </row>
    <row r="13" spans="9:12" ht="12.75">
      <c r="I13" s="77" t="s">
        <v>80</v>
      </c>
      <c r="J13" s="77"/>
      <c r="K13" s="77" t="s">
        <v>80</v>
      </c>
      <c r="L13" s="73"/>
    </row>
    <row r="14" spans="3:12" ht="12.75">
      <c r="C14" s="172" t="s">
        <v>189</v>
      </c>
      <c r="E14" s="172" t="s">
        <v>190</v>
      </c>
      <c r="G14" s="175" t="s">
        <v>65</v>
      </c>
      <c r="I14" s="77" t="s">
        <v>81</v>
      </c>
      <c r="J14" s="77"/>
      <c r="K14" s="77" t="s">
        <v>82</v>
      </c>
      <c r="L14" s="73"/>
    </row>
    <row r="15" spans="1:12" ht="12.75">
      <c r="A15" s="172" t="s">
        <v>63</v>
      </c>
      <c r="B15" s="172" t="s">
        <v>64</v>
      </c>
      <c r="C15" s="176" t="s">
        <v>191</v>
      </c>
      <c r="D15" s="177"/>
      <c r="E15" s="176" t="s">
        <v>192</v>
      </c>
      <c r="F15" s="177"/>
      <c r="G15" s="178" t="s">
        <v>192</v>
      </c>
      <c r="I15" s="91">
        <v>0.641</v>
      </c>
      <c r="J15" s="91"/>
      <c r="K15" s="91">
        <v>0.359</v>
      </c>
      <c r="L15" s="77" t="s">
        <v>114</v>
      </c>
    </row>
    <row r="16" spans="5:7" ht="12.75">
      <c r="E16" s="172"/>
      <c r="G16" s="175"/>
    </row>
    <row r="17" spans="1:7" ht="12.75">
      <c r="A17" s="172">
        <v>1</v>
      </c>
      <c r="B17" s="173" t="s">
        <v>193</v>
      </c>
      <c r="C17" s="179">
        <v>875917</v>
      </c>
      <c r="D17" s="174" t="s">
        <v>66</v>
      </c>
      <c r="E17" s="180">
        <v>0.5</v>
      </c>
      <c r="G17" s="179">
        <f aca="true" t="shared" si="0" ref="G17:G22">+E17*C17</f>
        <v>437958.5</v>
      </c>
    </row>
    <row r="18" spans="1:7" ht="12.75">
      <c r="A18" s="172">
        <v>2</v>
      </c>
      <c r="B18" s="173" t="s">
        <v>194</v>
      </c>
      <c r="C18" s="174">
        <v>405906</v>
      </c>
      <c r="D18" s="174" t="s">
        <v>66</v>
      </c>
      <c r="E18" s="180">
        <v>0.5</v>
      </c>
      <c r="G18" s="174">
        <f t="shared" si="0"/>
        <v>202953</v>
      </c>
    </row>
    <row r="19" spans="1:7" ht="12.75">
      <c r="A19" s="172">
        <v>3</v>
      </c>
      <c r="B19" s="173" t="s">
        <v>195</v>
      </c>
      <c r="C19" s="174">
        <v>283685</v>
      </c>
      <c r="D19" s="174" t="s">
        <v>66</v>
      </c>
      <c r="E19" s="180">
        <v>0.5</v>
      </c>
      <c r="G19" s="174">
        <f t="shared" si="0"/>
        <v>141842.5</v>
      </c>
    </row>
    <row r="20" spans="1:7" ht="12.75">
      <c r="A20" s="172">
        <v>4</v>
      </c>
      <c r="B20" s="173" t="s">
        <v>196</v>
      </c>
      <c r="C20" s="174">
        <v>265913</v>
      </c>
      <c r="D20" s="174" t="s">
        <v>66</v>
      </c>
      <c r="E20" s="180">
        <v>0.5</v>
      </c>
      <c r="G20" s="174">
        <f t="shared" si="0"/>
        <v>132956.5</v>
      </c>
    </row>
    <row r="21" spans="1:7" ht="12.75">
      <c r="A21" s="172">
        <v>5</v>
      </c>
      <c r="B21" s="173" t="s">
        <v>197</v>
      </c>
      <c r="C21" s="174">
        <v>328927.4268</v>
      </c>
      <c r="D21" s="174" t="s">
        <v>91</v>
      </c>
      <c r="E21" s="181">
        <v>0.25</v>
      </c>
      <c r="G21" s="174">
        <f t="shared" si="0"/>
        <v>82231.8567</v>
      </c>
    </row>
    <row r="22" spans="1:7" ht="15">
      <c r="A22" s="172">
        <v>6</v>
      </c>
      <c r="B22" s="173" t="s">
        <v>198</v>
      </c>
      <c r="C22" s="174">
        <v>192554.76870000002</v>
      </c>
      <c r="D22" s="174" t="s">
        <v>91</v>
      </c>
      <c r="E22" s="181">
        <v>1</v>
      </c>
      <c r="G22" s="182">
        <f t="shared" si="0"/>
        <v>192554.76870000002</v>
      </c>
    </row>
    <row r="24" spans="1:11" ht="12.75">
      <c r="A24" s="172">
        <v>7</v>
      </c>
      <c r="B24" s="173" t="s">
        <v>199</v>
      </c>
      <c r="G24" s="179">
        <f>SUM(G17:G23)</f>
        <v>1190497.1254</v>
      </c>
      <c r="I24" s="96">
        <f>+G24*I15</f>
        <v>763108.6573814</v>
      </c>
      <c r="K24" s="96">
        <f>+I24*K15</f>
        <v>273956.0079999226</v>
      </c>
    </row>
    <row r="25" spans="9:11" ht="12.75">
      <c r="I25" s="82"/>
      <c r="K25" s="82"/>
    </row>
    <row r="26" spans="1:11" s="73" customFormat="1" ht="12.75">
      <c r="A26" s="77">
        <v>8</v>
      </c>
      <c r="B26" s="73" t="s">
        <v>205</v>
      </c>
      <c r="E26" s="80"/>
      <c r="F26" s="77"/>
      <c r="G26" s="183"/>
      <c r="H26" s="77"/>
      <c r="I26" s="174">
        <f>-I24</f>
        <v>-763108.6573814</v>
      </c>
      <c r="J26" s="98"/>
      <c r="K26" s="174">
        <f>-K24</f>
        <v>-273956.0079999226</v>
      </c>
    </row>
    <row r="27" spans="9:11" ht="12.75">
      <c r="I27" s="84"/>
      <c r="K27" s="84"/>
    </row>
    <row r="28" spans="1:11" ht="12.75">
      <c r="A28" s="172">
        <v>9</v>
      </c>
      <c r="B28" s="73" t="s">
        <v>67</v>
      </c>
      <c r="E28" s="190">
        <v>0.3067</v>
      </c>
      <c r="I28" s="82"/>
      <c r="K28" s="82"/>
    </row>
    <row r="29" spans="2:11" ht="12.75">
      <c r="B29" s="73"/>
      <c r="I29" s="84"/>
      <c r="K29" s="84"/>
    </row>
    <row r="30" spans="1:11" ht="12.75">
      <c r="A30" s="172">
        <v>10</v>
      </c>
      <c r="B30" s="73" t="s">
        <v>141</v>
      </c>
      <c r="I30" s="184">
        <f>-I26*E28</f>
        <v>234045.42521887535</v>
      </c>
      <c r="K30" s="184">
        <f>-K26*E28</f>
        <v>84022.30765357625</v>
      </c>
    </row>
    <row r="31" spans="2:11" ht="12.75">
      <c r="B31" s="73"/>
      <c r="I31" s="82"/>
      <c r="K31" s="82"/>
    </row>
    <row r="32" spans="1:11" ht="13.5" thickBot="1">
      <c r="A32" s="172">
        <v>11</v>
      </c>
      <c r="B32" s="73" t="s">
        <v>142</v>
      </c>
      <c r="I32" s="185">
        <f>+I26+I30</f>
        <v>-529063.2321625247</v>
      </c>
      <c r="K32" s="185">
        <f>+K26+K30</f>
        <v>-189933.70034634636</v>
      </c>
    </row>
    <row r="33" spans="2:11" ht="13.5" thickTop="1">
      <c r="B33" s="73"/>
      <c r="I33" s="82"/>
      <c r="K33" s="82"/>
    </row>
    <row r="34" spans="1:12" s="73" customFormat="1" ht="12.75">
      <c r="A34" s="77">
        <v>12</v>
      </c>
      <c r="B34" s="73" t="s">
        <v>70</v>
      </c>
      <c r="C34" s="74"/>
      <c r="E34" s="76"/>
      <c r="F34" s="77"/>
      <c r="G34" s="77"/>
      <c r="H34" s="85"/>
      <c r="I34" s="189">
        <f>+'Conversion Factor'!G22</f>
        <v>1.5089154</v>
      </c>
      <c r="J34" s="189"/>
      <c r="K34" s="189">
        <f>+'Conversion Factor'!G40</f>
        <v>1.50749</v>
      </c>
      <c r="L34" s="83"/>
    </row>
    <row r="35" spans="1:11" s="73" customFormat="1" ht="12.75">
      <c r="A35" s="77"/>
      <c r="E35" s="78"/>
      <c r="F35" s="77"/>
      <c r="G35" s="77"/>
      <c r="H35" s="77"/>
      <c r="I35" s="186"/>
      <c r="K35" s="186"/>
    </row>
    <row r="36" spans="1:11" s="73" customFormat="1" ht="13.5" thickBot="1">
      <c r="A36" s="77">
        <v>13</v>
      </c>
      <c r="B36" s="73" t="s">
        <v>143</v>
      </c>
      <c r="E36" s="79"/>
      <c r="F36" s="77"/>
      <c r="G36" s="77"/>
      <c r="H36" s="77"/>
      <c r="I36" s="187">
        <f>+I32*I34</f>
        <v>-798311.6585838088</v>
      </c>
      <c r="K36" s="187">
        <f>+K32*K34</f>
        <v>-286323.1539351137</v>
      </c>
    </row>
    <row r="37" ht="13.5" thickTop="1"/>
    <row r="40" ht="12.75">
      <c r="A40" s="188" t="s">
        <v>72</v>
      </c>
    </row>
    <row r="42" spans="1:2" ht="12.75">
      <c r="A42" s="172" t="s">
        <v>66</v>
      </c>
      <c r="B42" s="173" t="s">
        <v>200</v>
      </c>
    </row>
    <row r="43" spans="1:11" ht="24" customHeight="1">
      <c r="A43" s="292" t="s">
        <v>91</v>
      </c>
      <c r="B43" s="305" t="s">
        <v>201</v>
      </c>
      <c r="C43" s="306"/>
      <c r="D43" s="306"/>
      <c r="E43" s="306"/>
      <c r="F43" s="306"/>
      <c r="G43" s="306"/>
      <c r="H43" s="306"/>
      <c r="I43" s="306"/>
      <c r="J43" s="306"/>
      <c r="K43" s="306"/>
    </row>
    <row r="44" spans="1:2" ht="12.75">
      <c r="A44" s="172" t="s">
        <v>114</v>
      </c>
      <c r="B44" s="173" t="s">
        <v>202</v>
      </c>
    </row>
  </sheetData>
  <sheetProtection/>
  <mergeCells count="5">
    <mergeCell ref="B43:K43"/>
    <mergeCell ref="A1:K1"/>
    <mergeCell ref="A2:K2"/>
    <mergeCell ref="A4:K4"/>
    <mergeCell ref="A6:K6"/>
  </mergeCells>
  <printOptions horizontalCentered="1"/>
  <pageMargins left="0.75" right="0.42" top="1" bottom="1" header="0.5" footer="0.5"/>
  <pageSetup fitToHeight="1" fitToWidth="1" horizontalDpi="600" verticalDpi="600" orientation="portrait" scale="97" r:id="rId1"/>
  <headerFooter alignWithMargins="0">
    <oddHeader>&amp;C&amp;"Times New Roman,Regular"&amp;10Schedule 4 (E &amp;&amp; G)
Page 8 of 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Layout" workbookViewId="0" topLeftCell="A1">
      <selection activeCell="B32" sqref="B32"/>
    </sheetView>
  </sheetViews>
  <sheetFormatPr defaultColWidth="13.33203125" defaultRowHeight="10.5"/>
  <cols>
    <col min="1" max="1" width="6.83203125" style="73" customWidth="1"/>
    <col min="2" max="2" width="38.33203125" style="73" customWidth="1"/>
    <col min="3" max="3" width="2.33203125" style="73" customWidth="1"/>
    <col min="4" max="4" width="20.5" style="76" customWidth="1"/>
    <col min="5" max="5" width="2.5" style="77" customWidth="1"/>
    <col min="6" max="6" width="15.66015625" style="73" bestFit="1" customWidth="1"/>
    <col min="7" max="7" width="2.16015625" style="73" customWidth="1"/>
    <col min="8" max="8" width="15.66015625" style="73" bestFit="1" customWidth="1"/>
    <col min="9" max="9" width="2.83203125" style="73" bestFit="1" customWidth="1"/>
    <col min="10" max="16384" width="13.33203125" style="73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4" spans="1:9" ht="12.75">
      <c r="A4" s="294" t="s">
        <v>332</v>
      </c>
      <c r="B4" s="294"/>
      <c r="C4" s="294"/>
      <c r="D4" s="294"/>
      <c r="E4" s="294"/>
      <c r="F4" s="294"/>
      <c r="G4" s="294"/>
      <c r="H4" s="294"/>
      <c r="I4" s="301"/>
    </row>
    <row r="6" spans="1:9" ht="12.75">
      <c r="A6" s="294" t="s">
        <v>125</v>
      </c>
      <c r="B6" s="294"/>
      <c r="C6" s="294"/>
      <c r="D6" s="294"/>
      <c r="E6" s="294"/>
      <c r="F6" s="294"/>
      <c r="G6" s="294"/>
      <c r="H6" s="294"/>
      <c r="I6" s="301"/>
    </row>
    <row r="9" spans="6:8" ht="12.75">
      <c r="F9" s="77"/>
      <c r="G9" s="77"/>
      <c r="H9" s="77"/>
    </row>
    <row r="10" ht="12.75">
      <c r="D10" s="79" t="s">
        <v>18</v>
      </c>
    </row>
    <row r="11" spans="1:9" s="74" customFormat="1" ht="12.75">
      <c r="A11" s="74" t="s">
        <v>63</v>
      </c>
      <c r="B11" s="74" t="s">
        <v>64</v>
      </c>
      <c r="D11" s="75" t="s">
        <v>65</v>
      </c>
      <c r="F11" s="77" t="s">
        <v>81</v>
      </c>
      <c r="G11" s="77"/>
      <c r="H11" s="77" t="s">
        <v>82</v>
      </c>
      <c r="I11" s="77"/>
    </row>
    <row r="13" spans="2:8" ht="12.75">
      <c r="B13" s="74"/>
      <c r="D13" s="82"/>
      <c r="F13" s="83"/>
      <c r="H13" s="83"/>
    </row>
    <row r="14" spans="1:9" ht="12.75">
      <c r="A14" s="77">
        <v>1</v>
      </c>
      <c r="B14" s="73" t="s">
        <v>126</v>
      </c>
      <c r="C14" s="83"/>
      <c r="D14" s="100">
        <f>+F14+H14</f>
        <v>3545926.197191</v>
      </c>
      <c r="E14" s="73"/>
      <c r="F14" s="100">
        <v>2236061.0599486446</v>
      </c>
      <c r="G14" s="83"/>
      <c r="H14" s="100">
        <v>1309865.1372423554</v>
      </c>
      <c r="I14" s="85" t="s">
        <v>66</v>
      </c>
    </row>
    <row r="15" spans="1:8" ht="12.75">
      <c r="A15" s="77"/>
      <c r="D15" s="89"/>
      <c r="F15" s="89"/>
      <c r="H15" s="89"/>
    </row>
    <row r="16" spans="1:8" ht="12.75">
      <c r="A16" s="77">
        <v>2</v>
      </c>
      <c r="B16" s="73" t="s">
        <v>78</v>
      </c>
      <c r="D16" s="80">
        <f>-D14</f>
        <v>-3545926.197191</v>
      </c>
      <c r="F16" s="80">
        <f>-F14</f>
        <v>-2236061.0599486446</v>
      </c>
      <c r="G16" s="98"/>
      <c r="H16" s="80">
        <f>-H14</f>
        <v>-1309865.1372423554</v>
      </c>
    </row>
    <row r="17" spans="1:8" ht="12.75">
      <c r="A17" s="77"/>
      <c r="D17" s="82"/>
      <c r="H17" s="81"/>
    </row>
    <row r="18" spans="1:8" ht="12.75">
      <c r="A18" s="77">
        <v>3</v>
      </c>
      <c r="B18" s="73" t="s">
        <v>67</v>
      </c>
      <c r="C18" s="83"/>
      <c r="D18" s="190">
        <v>0.3067</v>
      </c>
      <c r="E18" s="85"/>
      <c r="H18" s="81"/>
    </row>
    <row r="19" spans="1:8" ht="12.75">
      <c r="A19" s="77"/>
      <c r="D19" s="84"/>
      <c r="H19" s="81"/>
    </row>
    <row r="20" spans="1:8" ht="12.75">
      <c r="A20" s="77">
        <v>4</v>
      </c>
      <c r="B20" s="73" t="s">
        <v>68</v>
      </c>
      <c r="D20" s="86">
        <f>-D16*D18</f>
        <v>1087535.5646784797</v>
      </c>
      <c r="F20" s="86">
        <f>-F16*D18</f>
        <v>685799.9270862492</v>
      </c>
      <c r="H20" s="86">
        <f>-H16*D18</f>
        <v>401735.63759223034</v>
      </c>
    </row>
    <row r="21" spans="4:8" ht="12.75">
      <c r="D21" s="84"/>
      <c r="H21" s="81"/>
    </row>
    <row r="22" spans="1:11" ht="13.5" thickBot="1">
      <c r="A22" s="77">
        <v>5</v>
      </c>
      <c r="B22" s="73" t="s">
        <v>69</v>
      </c>
      <c r="D22" s="87">
        <f>+D16+D20</f>
        <v>-2458390.63251252</v>
      </c>
      <c r="F22" s="87">
        <f>+F16+F20</f>
        <v>-1550261.1328623954</v>
      </c>
      <c r="H22" s="87">
        <f>+H16+H20</f>
        <v>-908129.499650125</v>
      </c>
      <c r="K22" s="99"/>
    </row>
    <row r="23" spans="1:4" ht="13.5" thickTop="1">
      <c r="A23" s="77"/>
      <c r="D23" s="82"/>
    </row>
    <row r="24" spans="1:8" ht="12.75">
      <c r="A24" s="77">
        <v>6</v>
      </c>
      <c r="B24" s="73" t="s">
        <v>70</v>
      </c>
      <c r="D24" s="88"/>
      <c r="F24" s="73">
        <f>+'Conversion Factor'!G22</f>
        <v>1.5089154</v>
      </c>
      <c r="H24" s="73">
        <f>+'Conversion Factor'!G40</f>
        <v>1.50749</v>
      </c>
    </row>
    <row r="25" ht="12.75">
      <c r="D25" s="82"/>
    </row>
    <row r="26" spans="1:8" ht="13.5" thickBot="1">
      <c r="A26" s="77">
        <v>7</v>
      </c>
      <c r="B26" s="73" t="s">
        <v>71</v>
      </c>
      <c r="C26" s="83"/>
      <c r="D26" s="96"/>
      <c r="E26" s="85"/>
      <c r="F26" s="87">
        <f>+F22*F24</f>
        <v>-2339212.8973975144</v>
      </c>
      <c r="H26" s="87">
        <f>+H22*H24</f>
        <v>-1368996.139427567</v>
      </c>
    </row>
    <row r="27" spans="3:5" ht="13.5" thickTop="1">
      <c r="C27" s="83"/>
      <c r="D27" s="82"/>
      <c r="E27" s="85"/>
    </row>
    <row r="28" spans="3:5" ht="12.75">
      <c r="C28" s="83"/>
      <c r="D28" s="82"/>
      <c r="E28" s="85"/>
    </row>
    <row r="29" ht="12.75">
      <c r="D29" s="82"/>
    </row>
    <row r="30" ht="12.75">
      <c r="D30" s="82"/>
    </row>
    <row r="31" ht="12.75">
      <c r="A31" s="73" t="s">
        <v>72</v>
      </c>
    </row>
    <row r="32" spans="1:2" ht="12.75">
      <c r="A32" s="77" t="s">
        <v>66</v>
      </c>
      <c r="B32" s="73" t="s">
        <v>128</v>
      </c>
    </row>
    <row r="35" ht="12.75">
      <c r="B35" s="97"/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9 of 16&amp;R&amp;"Times New Roman,Regular"&amp;10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Layout" workbookViewId="0" topLeftCell="A1">
      <selection activeCell="A6" sqref="A6:H6"/>
    </sheetView>
  </sheetViews>
  <sheetFormatPr defaultColWidth="9.33203125" defaultRowHeight="10.5"/>
  <cols>
    <col min="1" max="1" width="5.66015625" style="93" bestFit="1" customWidth="1"/>
    <col min="2" max="2" width="45" style="93" bestFit="1" customWidth="1"/>
    <col min="3" max="3" width="13.5" style="93" customWidth="1"/>
    <col min="4" max="4" width="3" style="93" customWidth="1"/>
    <col min="5" max="5" width="14" style="126" customWidth="1"/>
    <col min="6" max="6" width="2.33203125" style="126" customWidth="1"/>
    <col min="7" max="7" width="14.16015625" style="126" customWidth="1"/>
    <col min="8" max="16384" width="9.33203125" style="93" customWidth="1"/>
  </cols>
  <sheetData>
    <row r="1" spans="1:8" s="73" customFormat="1" ht="12.75">
      <c r="A1" s="294" t="s">
        <v>73</v>
      </c>
      <c r="B1" s="294"/>
      <c r="C1" s="294"/>
      <c r="D1" s="294"/>
      <c r="E1" s="294"/>
      <c r="F1" s="294"/>
      <c r="G1" s="294"/>
      <c r="H1" s="294"/>
    </row>
    <row r="2" spans="1:8" s="73" customFormat="1" ht="12.75">
      <c r="A2" s="294" t="s">
        <v>74</v>
      </c>
      <c r="B2" s="294"/>
      <c r="C2" s="294"/>
      <c r="D2" s="294"/>
      <c r="E2" s="294"/>
      <c r="F2" s="294"/>
      <c r="G2" s="294"/>
      <c r="H2" s="294"/>
    </row>
    <row r="3" spans="5:7" s="73" customFormat="1" ht="12.75">
      <c r="E3" s="126"/>
      <c r="F3" s="126"/>
      <c r="G3" s="126"/>
    </row>
    <row r="4" spans="1:8" s="73" customFormat="1" ht="12.75">
      <c r="A4" s="294" t="s">
        <v>333</v>
      </c>
      <c r="B4" s="294"/>
      <c r="C4" s="294"/>
      <c r="D4" s="294"/>
      <c r="E4" s="294"/>
      <c r="F4" s="294"/>
      <c r="G4" s="294"/>
      <c r="H4" s="294"/>
    </row>
    <row r="5" spans="5:7" s="73" customFormat="1" ht="12.75">
      <c r="E5" s="126"/>
      <c r="F5" s="126"/>
      <c r="G5" s="126"/>
    </row>
    <row r="6" spans="1:8" s="73" customFormat="1" ht="12.75">
      <c r="A6" s="294" t="s">
        <v>148</v>
      </c>
      <c r="B6" s="294"/>
      <c r="C6" s="294"/>
      <c r="D6" s="294"/>
      <c r="E6" s="294"/>
      <c r="F6" s="294"/>
      <c r="G6" s="294"/>
      <c r="H6" s="294"/>
    </row>
    <row r="7" spans="5:7" s="73" customFormat="1" ht="12.75">
      <c r="E7" s="126"/>
      <c r="F7" s="126"/>
      <c r="G7" s="126"/>
    </row>
    <row r="10" spans="3:7" s="94" customFormat="1" ht="12.75">
      <c r="C10" s="94" t="s">
        <v>18</v>
      </c>
      <c r="E10" s="131"/>
      <c r="F10" s="131"/>
      <c r="G10" s="131"/>
    </row>
    <row r="11" spans="1:7" s="132" customFormat="1" ht="12.75">
      <c r="A11" s="132" t="s">
        <v>63</v>
      </c>
      <c r="B11" s="132" t="s">
        <v>64</v>
      </c>
      <c r="C11" s="132" t="s">
        <v>65</v>
      </c>
      <c r="E11" s="133" t="s">
        <v>162</v>
      </c>
      <c r="F11" s="133"/>
      <c r="G11" s="133" t="s">
        <v>163</v>
      </c>
    </row>
    <row r="13" spans="1:7" ht="12.75">
      <c r="A13" s="94">
        <v>1</v>
      </c>
      <c r="B13" s="93" t="s">
        <v>149</v>
      </c>
      <c r="C13" s="134">
        <f>+E13+G13</f>
        <v>224553</v>
      </c>
      <c r="E13" s="134">
        <v>224553</v>
      </c>
      <c r="G13" s="134">
        <v>0</v>
      </c>
    </row>
    <row r="14" spans="1:7" ht="12.75">
      <c r="A14" s="94">
        <v>2</v>
      </c>
      <c r="B14" s="93" t="s">
        <v>159</v>
      </c>
      <c r="C14" s="135">
        <f aca="true" t="shared" si="0" ref="C14:C23">+E14+G14</f>
        <v>7350</v>
      </c>
      <c r="E14" s="135">
        <v>0</v>
      </c>
      <c r="F14" s="135"/>
      <c r="G14" s="135">
        <v>7350</v>
      </c>
    </row>
    <row r="15" spans="1:7" ht="12.75">
      <c r="A15" s="94">
        <v>3</v>
      </c>
      <c r="B15" s="93" t="s">
        <v>150</v>
      </c>
      <c r="C15" s="135">
        <f t="shared" si="0"/>
        <v>793133</v>
      </c>
      <c r="E15" s="135">
        <v>793133</v>
      </c>
      <c r="G15" s="135">
        <v>0</v>
      </c>
    </row>
    <row r="16" spans="1:7" ht="12.75">
      <c r="A16" s="94">
        <v>4</v>
      </c>
      <c r="B16" s="93" t="s">
        <v>160</v>
      </c>
      <c r="C16" s="135">
        <f t="shared" si="0"/>
        <v>39533</v>
      </c>
      <c r="E16" s="135">
        <v>0</v>
      </c>
      <c r="G16" s="135">
        <v>39533</v>
      </c>
    </row>
    <row r="17" spans="1:7" ht="12.75">
      <c r="A17" s="94">
        <v>5</v>
      </c>
      <c r="B17" s="93" t="s">
        <v>161</v>
      </c>
      <c r="C17" s="135">
        <f t="shared" si="0"/>
        <v>39210</v>
      </c>
      <c r="E17" s="135">
        <v>0</v>
      </c>
      <c r="G17" s="135">
        <v>39210</v>
      </c>
    </row>
    <row r="18" spans="1:7" ht="12.75">
      <c r="A18" s="94">
        <v>6</v>
      </c>
      <c r="B18" s="93" t="s">
        <v>151</v>
      </c>
      <c r="C18" s="135">
        <f t="shared" si="0"/>
        <v>64960</v>
      </c>
      <c r="E18" s="135">
        <v>44491</v>
      </c>
      <c r="G18" s="135">
        <v>20469</v>
      </c>
    </row>
    <row r="19" spans="1:7" ht="12.75">
      <c r="A19" s="94">
        <v>7</v>
      </c>
      <c r="B19" s="93" t="s">
        <v>152</v>
      </c>
      <c r="C19" s="135">
        <f t="shared" si="0"/>
        <v>2952660</v>
      </c>
      <c r="E19" s="135">
        <v>1531127</v>
      </c>
      <c r="G19" s="135">
        <v>1421533</v>
      </c>
    </row>
    <row r="20" spans="1:7" ht="12.75">
      <c r="A20" s="94">
        <v>8</v>
      </c>
      <c r="B20" s="93" t="s">
        <v>153</v>
      </c>
      <c r="C20" s="135">
        <f t="shared" si="0"/>
        <v>1329217</v>
      </c>
      <c r="E20" s="135">
        <v>815528</v>
      </c>
      <c r="G20" s="135">
        <v>513689</v>
      </c>
    </row>
    <row r="21" spans="1:7" ht="12.75">
      <c r="A21" s="94">
        <v>9</v>
      </c>
      <c r="B21" s="93" t="s">
        <v>154</v>
      </c>
      <c r="C21" s="135">
        <f t="shared" si="0"/>
        <v>186177</v>
      </c>
      <c r="E21" s="135">
        <v>109777</v>
      </c>
      <c r="G21" s="135">
        <v>76400</v>
      </c>
    </row>
    <row r="22" spans="1:7" ht="12.75">
      <c r="A22" s="94">
        <v>10</v>
      </c>
      <c r="B22" s="93" t="s">
        <v>155</v>
      </c>
      <c r="C22" s="135">
        <f t="shared" si="0"/>
        <v>37099</v>
      </c>
      <c r="E22" s="135">
        <v>21345</v>
      </c>
      <c r="G22" s="135">
        <v>15754</v>
      </c>
    </row>
    <row r="23" spans="1:7" ht="12.75">
      <c r="A23" s="94">
        <v>11</v>
      </c>
      <c r="B23" s="93" t="s">
        <v>156</v>
      </c>
      <c r="C23" s="129">
        <f t="shared" si="0"/>
        <v>2253392</v>
      </c>
      <c r="E23" s="129">
        <v>1458992</v>
      </c>
      <c r="G23" s="129">
        <v>794400</v>
      </c>
    </row>
    <row r="24" spans="1:7" ht="12.75">
      <c r="A24" s="94">
        <v>12</v>
      </c>
      <c r="B24" s="94" t="s">
        <v>158</v>
      </c>
      <c r="C24" s="134">
        <f>SUM(C13:C23)</f>
        <v>7927284</v>
      </c>
      <c r="E24" s="134">
        <f>SUM(E13:E23)</f>
        <v>4998946</v>
      </c>
      <c r="G24" s="134">
        <f>SUM(G13:G23)</f>
        <v>2928338</v>
      </c>
    </row>
    <row r="25" spans="1:3" ht="12.75">
      <c r="A25" s="94"/>
      <c r="C25" s="126"/>
    </row>
    <row r="26" spans="1:7" ht="12.75">
      <c r="A26" s="94">
        <v>13</v>
      </c>
      <c r="B26" s="93" t="s">
        <v>157</v>
      </c>
      <c r="C26" s="129">
        <f>+G26+E26</f>
        <v>573936</v>
      </c>
      <c r="E26" s="129">
        <v>361924</v>
      </c>
      <c r="G26" s="129">
        <v>212012</v>
      </c>
    </row>
    <row r="28" spans="1:8" s="112" customFormat="1" ht="12.75">
      <c r="A28" s="110">
        <v>14</v>
      </c>
      <c r="B28" s="111" t="s">
        <v>164</v>
      </c>
      <c r="C28" s="116">
        <f>+C26+C24</f>
        <v>8501220</v>
      </c>
      <c r="D28" s="116"/>
      <c r="E28" s="116">
        <f>+E26+E24</f>
        <v>5360870</v>
      </c>
      <c r="F28" s="116"/>
      <c r="G28" s="116">
        <f>+G26+G24</f>
        <v>3140350</v>
      </c>
      <c r="H28" s="116"/>
    </row>
    <row r="29" spans="1:8" s="73" customFormat="1" ht="12.75">
      <c r="A29" s="77"/>
      <c r="E29" s="89"/>
      <c r="F29" s="89"/>
      <c r="G29" s="85"/>
      <c r="H29" s="77"/>
    </row>
    <row r="30" spans="1:8" s="73" customFormat="1" ht="12.75">
      <c r="A30" s="77">
        <v>15</v>
      </c>
      <c r="B30" s="73" t="s">
        <v>78</v>
      </c>
      <c r="E30" s="96">
        <f>-E28</f>
        <v>-5360870</v>
      </c>
      <c r="F30" s="96"/>
      <c r="G30" s="96">
        <f>-G28</f>
        <v>-3140350</v>
      </c>
      <c r="H30" s="80"/>
    </row>
    <row r="31" spans="1:7" s="73" customFormat="1" ht="12.75">
      <c r="A31" s="77"/>
      <c r="E31" s="82"/>
      <c r="F31" s="82"/>
      <c r="G31" s="83"/>
    </row>
    <row r="32" spans="1:7" s="73" customFormat="1" ht="12.75">
      <c r="A32" s="77">
        <v>16</v>
      </c>
      <c r="B32" s="73" t="s">
        <v>67</v>
      </c>
      <c r="C32" s="190">
        <v>0.3067</v>
      </c>
      <c r="D32" s="83"/>
      <c r="F32" s="84"/>
      <c r="G32" s="83"/>
    </row>
    <row r="33" spans="1:7" s="73" customFormat="1" ht="12.75">
      <c r="A33" s="77"/>
      <c r="E33" s="84"/>
      <c r="F33" s="84"/>
      <c r="G33" s="83"/>
    </row>
    <row r="34" spans="1:8" s="73" customFormat="1" ht="12.75">
      <c r="A34" s="77">
        <v>17</v>
      </c>
      <c r="B34" s="73" t="s">
        <v>165</v>
      </c>
      <c r="E34" s="86">
        <f>-E30*C32</f>
        <v>1644178.829</v>
      </c>
      <c r="F34" s="82"/>
      <c r="G34" s="86">
        <f>-G30*C32</f>
        <v>963145.345</v>
      </c>
      <c r="H34" s="82"/>
    </row>
    <row r="35" spans="5:7" s="73" customFormat="1" ht="12.75">
      <c r="E35" s="84"/>
      <c r="F35" s="84"/>
      <c r="G35" s="83"/>
    </row>
    <row r="36" spans="1:12" s="73" customFormat="1" ht="13.5" thickBot="1">
      <c r="A36" s="77">
        <v>18</v>
      </c>
      <c r="B36" s="73" t="s">
        <v>166</v>
      </c>
      <c r="E36" s="87">
        <f>+E30+E34</f>
        <v>-3716691.171</v>
      </c>
      <c r="F36" s="96"/>
      <c r="G36" s="87">
        <f>+G30+G34</f>
        <v>-2177204.6550000003</v>
      </c>
      <c r="H36" s="96"/>
      <c r="L36" s="99"/>
    </row>
    <row r="37" spans="1:7" s="73" customFormat="1" ht="13.5" thickTop="1">
      <c r="A37" s="77"/>
      <c r="E37" s="82"/>
      <c r="F37" s="82"/>
      <c r="G37" s="83"/>
    </row>
    <row r="38" spans="1:7" s="73" customFormat="1" ht="12.75">
      <c r="A38" s="77">
        <v>19</v>
      </c>
      <c r="B38" s="73" t="s">
        <v>70</v>
      </c>
      <c r="E38" s="128">
        <f>+'Conversion Factor'!G22</f>
        <v>1.5089154</v>
      </c>
      <c r="F38" s="128"/>
      <c r="G38" s="83">
        <f>+'Conversion Factor'!G40</f>
        <v>1.50749</v>
      </c>
    </row>
    <row r="39" spans="5:7" s="73" customFormat="1" ht="12.75">
      <c r="E39" s="82"/>
      <c r="F39" s="82"/>
      <c r="G39" s="83"/>
    </row>
    <row r="40" spans="1:8" s="73" customFormat="1" ht="13.5" thickBot="1">
      <c r="A40" s="77">
        <v>20</v>
      </c>
      <c r="B40" s="73" t="s">
        <v>167</v>
      </c>
      <c r="C40" s="83"/>
      <c r="D40" s="83"/>
      <c r="E40" s="87">
        <f>+E36*E38</f>
        <v>-5608172.544965934</v>
      </c>
      <c r="F40" s="96"/>
      <c r="G40" s="87">
        <f>+G36*G38</f>
        <v>-3282114.2453659503</v>
      </c>
      <c r="H40" s="96"/>
    </row>
    <row r="41" ht="13.5" thickTop="1"/>
  </sheetData>
  <sheetProtection/>
  <mergeCells count="4">
    <mergeCell ref="A1:H1"/>
    <mergeCell ref="A2:H2"/>
    <mergeCell ref="A4:H4"/>
    <mergeCell ref="A6:H6"/>
  </mergeCells>
  <printOptions horizontalCentered="1"/>
  <pageMargins left="0.75" right="0.51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10 of 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view="pageLayout" workbookViewId="0" topLeftCell="A1">
      <selection activeCell="B10" sqref="B10"/>
    </sheetView>
  </sheetViews>
  <sheetFormatPr defaultColWidth="10.66015625" defaultRowHeight="10.5"/>
  <cols>
    <col min="1" max="1" width="5.16015625" style="112" bestFit="1" customWidth="1"/>
    <col min="2" max="2" width="68.16015625" style="112" customWidth="1"/>
    <col min="3" max="3" width="15.5" style="112" bestFit="1" customWidth="1"/>
    <col min="4" max="4" width="1.0078125" style="112" customWidth="1"/>
    <col min="5" max="5" width="14.5" style="112" customWidth="1"/>
    <col min="6" max="6" width="2" style="112" customWidth="1"/>
    <col min="7" max="7" width="17.83203125" style="112" bestFit="1" customWidth="1"/>
    <col min="8" max="8" width="2.33203125" style="112" customWidth="1"/>
    <col min="9" max="9" width="15.66015625" style="112" customWidth="1"/>
    <col min="10" max="10" width="5.5" style="112" bestFit="1" customWidth="1"/>
    <col min="11" max="16384" width="10.66015625" style="112" customWidth="1"/>
  </cols>
  <sheetData>
    <row r="2" spans="2:10" s="83" customFormat="1" ht="12.75">
      <c r="B2" s="301" t="s">
        <v>73</v>
      </c>
      <c r="C2" s="301"/>
      <c r="D2" s="301"/>
      <c r="E2" s="301"/>
      <c r="F2" s="301"/>
      <c r="G2" s="301"/>
      <c r="H2" s="301"/>
      <c r="I2" s="301"/>
      <c r="J2" s="301"/>
    </row>
    <row r="3" spans="2:10" s="83" customFormat="1" ht="12.75">
      <c r="B3" s="301" t="s">
        <v>74</v>
      </c>
      <c r="C3" s="301"/>
      <c r="D3" s="301"/>
      <c r="E3" s="301"/>
      <c r="F3" s="301"/>
      <c r="G3" s="301"/>
      <c r="H3" s="301"/>
      <c r="I3" s="301"/>
      <c r="J3" s="301"/>
    </row>
    <row r="4" s="83" customFormat="1" ht="12.75"/>
    <row r="5" spans="2:10" s="83" customFormat="1" ht="12.75">
      <c r="B5" s="301" t="s">
        <v>334</v>
      </c>
      <c r="C5" s="301"/>
      <c r="D5" s="301"/>
      <c r="E5" s="301"/>
      <c r="F5" s="301"/>
      <c r="G5" s="301"/>
      <c r="H5" s="301"/>
      <c r="I5" s="301"/>
      <c r="J5" s="301"/>
    </row>
    <row r="6" s="83" customFormat="1" ht="12.75"/>
    <row r="7" spans="2:10" s="83" customFormat="1" ht="12.75">
      <c r="B7" s="301" t="s">
        <v>136</v>
      </c>
      <c r="C7" s="301"/>
      <c r="D7" s="301"/>
      <c r="E7" s="301"/>
      <c r="F7" s="301"/>
      <c r="G7" s="301"/>
      <c r="H7" s="301"/>
      <c r="I7" s="301"/>
      <c r="J7" s="301"/>
    </row>
    <row r="8" s="83" customFormat="1" ht="12.75"/>
    <row r="9" spans="3:19" ht="12.75">
      <c r="C9" s="113"/>
      <c r="D9" s="113"/>
      <c r="E9" s="113"/>
      <c r="F9" s="113"/>
      <c r="G9" s="113"/>
      <c r="H9" s="113"/>
      <c r="I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3:19" ht="12.75">
      <c r="C10" s="113"/>
      <c r="D10" s="113"/>
      <c r="E10" s="113"/>
      <c r="F10" s="113"/>
      <c r="G10" s="113"/>
      <c r="H10" s="113"/>
      <c r="I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3:19" ht="12.75">
      <c r="C11" s="113"/>
      <c r="D11" s="113"/>
      <c r="E11" s="113"/>
      <c r="F11" s="113"/>
      <c r="G11" s="113"/>
      <c r="H11" s="113"/>
      <c r="I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7:9" ht="12.75">
      <c r="G12" s="85" t="s">
        <v>80</v>
      </c>
      <c r="H12" s="77"/>
      <c r="I12" s="77" t="s">
        <v>80</v>
      </c>
    </row>
    <row r="13" spans="3:9" ht="12.75">
      <c r="C13" s="114" t="s">
        <v>18</v>
      </c>
      <c r="D13" s="114"/>
      <c r="E13" s="114" t="s">
        <v>138</v>
      </c>
      <c r="F13" s="114"/>
      <c r="G13" s="85" t="s">
        <v>81</v>
      </c>
      <c r="H13" s="77"/>
      <c r="I13" s="77" t="s">
        <v>82</v>
      </c>
    </row>
    <row r="14" spans="1:10" ht="12.75">
      <c r="A14" s="127" t="s">
        <v>63</v>
      </c>
      <c r="B14" s="127" t="s">
        <v>64</v>
      </c>
      <c r="C14" s="124" t="s">
        <v>137</v>
      </c>
      <c r="D14" s="124"/>
      <c r="E14" s="124" t="s">
        <v>139</v>
      </c>
      <c r="F14" s="124"/>
      <c r="G14" s="125">
        <v>0.6515</v>
      </c>
      <c r="H14" s="125"/>
      <c r="I14" s="125">
        <v>0.3485</v>
      </c>
      <c r="J14" s="112" t="s">
        <v>66</v>
      </c>
    </row>
    <row r="15" spans="3:9" ht="12.75">
      <c r="C15" s="114"/>
      <c r="D15" s="114"/>
      <c r="E15" s="114"/>
      <c r="F15" s="114"/>
      <c r="G15" s="114"/>
      <c r="H15" s="114"/>
      <c r="I15" s="114"/>
    </row>
    <row r="16" spans="1:10" ht="12.75">
      <c r="A16" s="110">
        <v>1</v>
      </c>
      <c r="B16" s="115" t="s">
        <v>129</v>
      </c>
      <c r="C16" s="117">
        <v>45310.7</v>
      </c>
      <c r="D16" s="117"/>
      <c r="E16" s="118">
        <f>+C16</f>
        <v>45310.7</v>
      </c>
      <c r="F16" s="118"/>
      <c r="G16" s="119">
        <f aca="true" t="shared" si="0" ref="G16:G21">+C16*$G$14</f>
        <v>29519.921049999997</v>
      </c>
      <c r="H16" s="119"/>
      <c r="I16" s="117">
        <f aca="true" t="shared" si="1" ref="I16:I21">+C16*$I$14</f>
        <v>15790.778949999998</v>
      </c>
      <c r="J16" s="112" t="s">
        <v>91</v>
      </c>
    </row>
    <row r="17" spans="1:10" ht="12.75">
      <c r="A17" s="110">
        <v>2</v>
      </c>
      <c r="B17" s="111" t="s">
        <v>130</v>
      </c>
      <c r="C17" s="121">
        <v>517946.79</v>
      </c>
      <c r="D17" s="121"/>
      <c r="E17" s="121">
        <f>+C17</f>
        <v>517946.79</v>
      </c>
      <c r="F17" s="120"/>
      <c r="G17" s="121">
        <f t="shared" si="0"/>
        <v>337442.33368499996</v>
      </c>
      <c r="H17" s="121"/>
      <c r="I17" s="120">
        <f t="shared" si="1"/>
        <v>180504.456315</v>
      </c>
      <c r="J17" s="112" t="s">
        <v>140</v>
      </c>
    </row>
    <row r="18" spans="1:10" ht="12.75">
      <c r="A18" s="110">
        <v>3</v>
      </c>
      <c r="B18" s="111" t="s">
        <v>131</v>
      </c>
      <c r="C18" s="121">
        <v>241054</v>
      </c>
      <c r="D18" s="121"/>
      <c r="E18" s="121">
        <f>+C18</f>
        <v>241054</v>
      </c>
      <c r="F18" s="120"/>
      <c r="G18" s="121">
        <f t="shared" si="0"/>
        <v>157046.68099999998</v>
      </c>
      <c r="H18" s="121"/>
      <c r="I18" s="120">
        <f t="shared" si="1"/>
        <v>84007.31899999999</v>
      </c>
      <c r="J18" s="112" t="s">
        <v>140</v>
      </c>
    </row>
    <row r="19" spans="1:10" ht="12.75">
      <c r="A19" s="110">
        <v>4</v>
      </c>
      <c r="B19" s="111" t="s">
        <v>132</v>
      </c>
      <c r="C19" s="121">
        <v>863015</v>
      </c>
      <c r="D19" s="121"/>
      <c r="E19" s="121">
        <f>+C19/2</f>
        <v>431507.5</v>
      </c>
      <c r="F19" s="120"/>
      <c r="G19" s="121">
        <f t="shared" si="0"/>
        <v>562254.2725</v>
      </c>
      <c r="H19" s="121"/>
      <c r="I19" s="120">
        <f t="shared" si="1"/>
        <v>300760.7275</v>
      </c>
      <c r="J19" s="112" t="s">
        <v>140</v>
      </c>
    </row>
    <row r="20" spans="1:10" ht="12.75">
      <c r="A20" s="110">
        <v>5</v>
      </c>
      <c r="B20" s="111" t="s">
        <v>133</v>
      </c>
      <c r="C20" s="121">
        <v>298889.44</v>
      </c>
      <c r="D20" s="121"/>
      <c r="E20" s="121">
        <f>+C20</f>
        <v>298889.44</v>
      </c>
      <c r="F20" s="120"/>
      <c r="G20" s="121">
        <f t="shared" si="0"/>
        <v>194726.47016</v>
      </c>
      <c r="H20" s="121"/>
      <c r="I20" s="120">
        <f t="shared" si="1"/>
        <v>104162.96983999999</v>
      </c>
      <c r="J20" s="112" t="s">
        <v>140</v>
      </c>
    </row>
    <row r="21" spans="1:10" ht="12.75">
      <c r="A21" s="110">
        <v>6</v>
      </c>
      <c r="B21" s="111" t="s">
        <v>134</v>
      </c>
      <c r="C21" s="27">
        <v>242710</v>
      </c>
      <c r="D21" s="123"/>
      <c r="E21" s="27">
        <f>+C21</f>
        <v>242710</v>
      </c>
      <c r="F21" s="122"/>
      <c r="G21" s="27">
        <f t="shared" si="0"/>
        <v>158125.565</v>
      </c>
      <c r="H21" s="123"/>
      <c r="I21" s="129">
        <f t="shared" si="1"/>
        <v>84584.435</v>
      </c>
      <c r="J21" s="112" t="s">
        <v>114</v>
      </c>
    </row>
    <row r="22" spans="1:5" ht="12.75">
      <c r="A22" s="110"/>
      <c r="B22" s="130"/>
      <c r="C22" s="130"/>
      <c r="D22" s="130"/>
      <c r="E22" s="130"/>
    </row>
    <row r="23" spans="1:9" ht="12.75">
      <c r="A23" s="110">
        <v>7</v>
      </c>
      <c r="B23" s="111" t="s">
        <v>135</v>
      </c>
      <c r="C23" s="116">
        <f>SUM(C16:C22)</f>
        <v>2208925.9299999997</v>
      </c>
      <c r="D23" s="116"/>
      <c r="E23" s="116">
        <f>SUM(E16:E22)</f>
        <v>1777418.43</v>
      </c>
      <c r="F23" s="116"/>
      <c r="G23" s="116">
        <f>SUM(G16:G22)</f>
        <v>1439115.2433949998</v>
      </c>
      <c r="H23" s="116"/>
      <c r="I23" s="116">
        <f>SUM(I16:I22)</f>
        <v>769810.6866049999</v>
      </c>
    </row>
    <row r="24" spans="1:9" s="73" customFormat="1" ht="12.75">
      <c r="A24" s="77"/>
      <c r="E24" s="89"/>
      <c r="F24" s="89"/>
      <c r="G24" s="85"/>
      <c r="H24" s="77"/>
      <c r="I24" s="89"/>
    </row>
    <row r="25" spans="1:9" s="73" customFormat="1" ht="12.75">
      <c r="A25" s="77">
        <v>8</v>
      </c>
      <c r="B25" s="73" t="s">
        <v>78</v>
      </c>
      <c r="E25" s="96">
        <f>-E23</f>
        <v>-1777418.43</v>
      </c>
      <c r="F25" s="96"/>
      <c r="G25" s="96">
        <f>-G23</f>
        <v>-1439115.2433949998</v>
      </c>
      <c r="H25" s="80"/>
      <c r="I25" s="80">
        <f>-I23</f>
        <v>-769810.6866049999</v>
      </c>
    </row>
    <row r="26" spans="1:9" s="73" customFormat="1" ht="12.75">
      <c r="A26" s="77"/>
      <c r="E26" s="82"/>
      <c r="F26" s="82"/>
      <c r="G26" s="83"/>
      <c r="I26" s="81"/>
    </row>
    <row r="27" spans="1:9" s="73" customFormat="1" ht="12.75">
      <c r="A27" s="77">
        <v>9</v>
      </c>
      <c r="B27" s="73" t="s">
        <v>67</v>
      </c>
      <c r="C27" s="83"/>
      <c r="D27" s="83"/>
      <c r="E27" s="190">
        <v>0.3067</v>
      </c>
      <c r="F27" s="84"/>
      <c r="G27" s="83"/>
      <c r="I27" s="81"/>
    </row>
    <row r="28" spans="1:9" s="73" customFormat="1" ht="12.75">
      <c r="A28" s="77"/>
      <c r="E28" s="84"/>
      <c r="F28" s="84"/>
      <c r="G28" s="83"/>
      <c r="I28" s="81"/>
    </row>
    <row r="29" spans="1:9" s="73" customFormat="1" ht="12.75">
      <c r="A29" s="77">
        <v>10</v>
      </c>
      <c r="B29" s="73" t="s">
        <v>141</v>
      </c>
      <c r="E29" s="86">
        <f>-E25*E27</f>
        <v>545134.2324809999</v>
      </c>
      <c r="F29" s="82"/>
      <c r="G29" s="86">
        <f>-G25*E27</f>
        <v>441376.6451492464</v>
      </c>
      <c r="H29" s="82"/>
      <c r="I29" s="86">
        <f>-I25*E27</f>
        <v>236100.93758175345</v>
      </c>
    </row>
    <row r="30" spans="5:9" s="73" customFormat="1" ht="12.75">
      <c r="E30" s="84"/>
      <c r="F30" s="84"/>
      <c r="G30" s="83"/>
      <c r="I30" s="81"/>
    </row>
    <row r="31" spans="1:13" s="73" customFormat="1" ht="13.5" thickBot="1">
      <c r="A31" s="77">
        <v>11</v>
      </c>
      <c r="B31" s="73" t="s">
        <v>142</v>
      </c>
      <c r="E31" s="87">
        <f>+E25+E29</f>
        <v>-1232284.1975190002</v>
      </c>
      <c r="F31" s="96"/>
      <c r="G31" s="87">
        <f>+G25+G29</f>
        <v>-997738.5982457534</v>
      </c>
      <c r="H31" s="96"/>
      <c r="I31" s="87">
        <f>+I25+I29</f>
        <v>-533709.7490232465</v>
      </c>
      <c r="M31" s="99"/>
    </row>
    <row r="32" spans="1:7" s="73" customFormat="1" ht="13.5" thickTop="1">
      <c r="A32" s="77"/>
      <c r="E32" s="82"/>
      <c r="F32" s="82"/>
      <c r="G32" s="83"/>
    </row>
    <row r="33" spans="1:9" s="73" customFormat="1" ht="12.75">
      <c r="A33" s="77">
        <v>12</v>
      </c>
      <c r="B33" s="73" t="s">
        <v>70</v>
      </c>
      <c r="E33" s="128"/>
      <c r="F33" s="128"/>
      <c r="G33" s="83">
        <f>+'Conversion Factor'!G22</f>
        <v>1.5089154</v>
      </c>
      <c r="I33" s="73">
        <f>+'Conversion Factor'!G40</f>
        <v>1.50749</v>
      </c>
    </row>
    <row r="34" spans="5:7" s="73" customFormat="1" ht="12.75">
      <c r="E34" s="82"/>
      <c r="F34" s="82"/>
      <c r="G34" s="83"/>
    </row>
    <row r="35" spans="1:9" s="73" customFormat="1" ht="13.5" thickBot="1">
      <c r="A35" s="77">
        <v>13</v>
      </c>
      <c r="B35" s="73" t="s">
        <v>143</v>
      </c>
      <c r="C35" s="83"/>
      <c r="D35" s="83"/>
      <c r="E35" s="96"/>
      <c r="F35" s="96"/>
      <c r="G35" s="87">
        <f>+G31*G33</f>
        <v>-1505503.1360674303</v>
      </c>
      <c r="H35" s="96"/>
      <c r="I35" s="87">
        <f>+I31*I33</f>
        <v>-804562.1095550538</v>
      </c>
    </row>
    <row r="36" ht="13.5" thickTop="1"/>
    <row r="38" ht="12.75">
      <c r="B38" s="112" t="s">
        <v>72</v>
      </c>
    </row>
    <row r="39" spans="1:2" ht="12.75">
      <c r="A39" s="110" t="s">
        <v>66</v>
      </c>
      <c r="B39" s="73" t="s">
        <v>92</v>
      </c>
    </row>
    <row r="40" spans="1:2" ht="12.75">
      <c r="A40" s="110" t="s">
        <v>91</v>
      </c>
      <c r="B40" s="112" t="s">
        <v>144</v>
      </c>
    </row>
    <row r="41" spans="1:2" ht="12.75">
      <c r="A41" s="110" t="s">
        <v>114</v>
      </c>
      <c r="B41" s="112" t="s">
        <v>145</v>
      </c>
    </row>
  </sheetData>
  <sheetProtection/>
  <mergeCells count="4">
    <mergeCell ref="B2:J2"/>
    <mergeCell ref="B3:J3"/>
    <mergeCell ref="B5:J5"/>
    <mergeCell ref="B7:J7"/>
  </mergeCells>
  <printOptions horizontalCentered="1"/>
  <pageMargins left="0.75" right="0.46" top="1" bottom="1" header="0.5" footer="0.5"/>
  <pageSetup fitToHeight="1" fitToWidth="1" horizontalDpi="600" verticalDpi="600" orientation="portrait" scale="79" r:id="rId1"/>
  <headerFooter alignWithMargins="0">
    <oddHeader>&amp;C&amp;"Times New Roman,Regular"&amp;10Schedule 4 (E &amp;&amp; G)
Page 11 of 16&amp;R&amp;"Times New Roman,Regular"&amp;10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Layout" workbookViewId="0" topLeftCell="A1">
      <selection activeCell="D10" sqref="D10"/>
    </sheetView>
  </sheetViews>
  <sheetFormatPr defaultColWidth="13.33203125" defaultRowHeight="10.5"/>
  <cols>
    <col min="1" max="1" width="6.83203125" style="73" customWidth="1"/>
    <col min="2" max="2" width="45.66015625" style="73" customWidth="1"/>
    <col min="3" max="3" width="2.33203125" style="73" customWidth="1"/>
    <col min="4" max="4" width="20.5" style="76" customWidth="1"/>
    <col min="5" max="5" width="3.83203125" style="77" customWidth="1"/>
    <col min="6" max="6" width="20" style="73" customWidth="1"/>
    <col min="7" max="7" width="2.16015625" style="73" customWidth="1"/>
    <col min="8" max="8" width="17.5" style="73" customWidth="1"/>
    <col min="9" max="9" width="2.83203125" style="73" bestFit="1" customWidth="1"/>
    <col min="10" max="16384" width="13.33203125" style="73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4" spans="1:9" ht="12.75">
      <c r="A4" s="294" t="s">
        <v>335</v>
      </c>
      <c r="B4" s="294"/>
      <c r="C4" s="294"/>
      <c r="D4" s="294"/>
      <c r="E4" s="294"/>
      <c r="F4" s="294"/>
      <c r="G4" s="294"/>
      <c r="H4" s="294"/>
      <c r="I4" s="301"/>
    </row>
    <row r="6" spans="1:9" ht="12.75">
      <c r="A6" s="294" t="s">
        <v>75</v>
      </c>
      <c r="B6" s="294"/>
      <c r="C6" s="294"/>
      <c r="D6" s="294"/>
      <c r="E6" s="294"/>
      <c r="F6" s="294"/>
      <c r="G6" s="294"/>
      <c r="H6" s="294"/>
      <c r="I6" s="301"/>
    </row>
    <row r="9" spans="6:8" ht="12.75">
      <c r="F9" s="77" t="s">
        <v>80</v>
      </c>
      <c r="G9" s="77"/>
      <c r="H9" s="77" t="s">
        <v>80</v>
      </c>
    </row>
    <row r="10" spans="4:8" ht="12.75">
      <c r="D10" s="79" t="s">
        <v>18</v>
      </c>
      <c r="F10" s="77" t="s">
        <v>81</v>
      </c>
      <c r="G10" s="77"/>
      <c r="H10" s="77" t="s">
        <v>82</v>
      </c>
    </row>
    <row r="11" spans="1:9" s="74" customFormat="1" ht="12.75">
      <c r="A11" s="74" t="s">
        <v>63</v>
      </c>
      <c r="B11" s="74" t="s">
        <v>64</v>
      </c>
      <c r="D11" s="75" t="s">
        <v>65</v>
      </c>
      <c r="F11" s="91">
        <v>0.6515</v>
      </c>
      <c r="G11" s="91"/>
      <c r="H11" s="91">
        <v>0.3485</v>
      </c>
      <c r="I11" s="77" t="s">
        <v>66</v>
      </c>
    </row>
    <row r="13" ht="12.75">
      <c r="B13" s="74" t="s">
        <v>93</v>
      </c>
    </row>
    <row r="14" spans="1:8" ht="12.75">
      <c r="A14" s="77">
        <v>1</v>
      </c>
      <c r="B14" s="73" t="s">
        <v>76</v>
      </c>
      <c r="D14" s="78">
        <v>472523</v>
      </c>
      <c r="E14" s="77" t="s">
        <v>91</v>
      </c>
      <c r="F14" s="78">
        <f>+D14*F11</f>
        <v>307848.73449999996</v>
      </c>
      <c r="H14" s="78">
        <f>+D14*H11</f>
        <v>164674.26549999998</v>
      </c>
    </row>
    <row r="15" spans="1:8" ht="12.75">
      <c r="A15" s="77"/>
      <c r="D15" s="79"/>
      <c r="F15" s="79"/>
      <c r="H15" s="79"/>
    </row>
    <row r="16" spans="1:8" ht="12.75">
      <c r="A16" s="77">
        <v>2</v>
      </c>
      <c r="B16" s="73" t="s">
        <v>77</v>
      </c>
      <c r="D16" s="90">
        <v>50982</v>
      </c>
      <c r="E16" s="77" t="s">
        <v>91</v>
      </c>
      <c r="F16" s="90">
        <f>+D16*F11</f>
        <v>33214.773</v>
      </c>
      <c r="H16" s="90">
        <f>+D16*H11</f>
        <v>17767.227</v>
      </c>
    </row>
    <row r="17" spans="1:8" ht="12.75">
      <c r="A17" s="77"/>
      <c r="D17" s="89"/>
      <c r="F17" s="85"/>
      <c r="H17" s="83"/>
    </row>
    <row r="18" spans="1:8" ht="12.75">
      <c r="A18" s="77">
        <v>3</v>
      </c>
      <c r="B18" s="73" t="s">
        <v>99</v>
      </c>
      <c r="D18" s="80">
        <f>-D14-D16</f>
        <v>-523505</v>
      </c>
      <c r="F18" s="80">
        <f>-F14-F16</f>
        <v>-341063.50749999995</v>
      </c>
      <c r="G18" s="98"/>
      <c r="H18" s="80">
        <f>-H14-H16</f>
        <v>-182441.4925</v>
      </c>
    </row>
    <row r="19" spans="1:8" ht="12.75">
      <c r="A19" s="77"/>
      <c r="D19" s="82"/>
      <c r="H19" s="81"/>
    </row>
    <row r="20" spans="1:8" ht="12.75">
      <c r="A20" s="77">
        <v>4</v>
      </c>
      <c r="B20" s="73" t="s">
        <v>67</v>
      </c>
      <c r="C20" s="83"/>
      <c r="D20" s="190">
        <v>0.3067</v>
      </c>
      <c r="E20" s="85"/>
      <c r="H20" s="81"/>
    </row>
    <row r="21" spans="1:8" ht="12.75">
      <c r="A21" s="77"/>
      <c r="D21" s="84"/>
      <c r="H21" s="81"/>
    </row>
    <row r="22" spans="1:8" ht="12.75">
      <c r="A22" s="77">
        <v>5</v>
      </c>
      <c r="B22" s="73" t="s">
        <v>79</v>
      </c>
      <c r="D22" s="86">
        <f>-D18*D20</f>
        <v>160558.98349999997</v>
      </c>
      <c r="F22" s="86">
        <f>-F18*D20</f>
        <v>104604.17775024998</v>
      </c>
      <c r="H22" s="86">
        <f>-H18*D20</f>
        <v>55954.80574974999</v>
      </c>
    </row>
    <row r="23" spans="4:8" ht="12.75">
      <c r="D23" s="84"/>
      <c r="H23" s="81"/>
    </row>
    <row r="24" spans="1:11" ht="13.5" thickBot="1">
      <c r="A24" s="77">
        <v>6</v>
      </c>
      <c r="B24" s="73" t="s">
        <v>100</v>
      </c>
      <c r="D24" s="87">
        <f>+D18+D22</f>
        <v>-362946.0165</v>
      </c>
      <c r="F24" s="87">
        <f>+F18+F22</f>
        <v>-236459.32974974997</v>
      </c>
      <c r="H24" s="87">
        <f>+H18+H22</f>
        <v>-126486.68675025</v>
      </c>
      <c r="K24" s="99"/>
    </row>
    <row r="25" spans="1:4" ht="13.5" thickTop="1">
      <c r="A25" s="77"/>
      <c r="D25" s="82"/>
    </row>
    <row r="26" spans="1:8" ht="12.75">
      <c r="A26" s="77">
        <v>7</v>
      </c>
      <c r="B26" s="73" t="s">
        <v>70</v>
      </c>
      <c r="D26" s="88"/>
      <c r="F26" s="73">
        <f>+'Conversion Factor'!G22</f>
        <v>1.5089154</v>
      </c>
      <c r="H26" s="73">
        <f>+'Conversion Factor'!G40</f>
        <v>1.50749</v>
      </c>
    </row>
    <row r="27" ht="12.75">
      <c r="D27" s="82"/>
    </row>
    <row r="28" spans="1:8" ht="13.5" thickBot="1">
      <c r="A28" s="77">
        <v>8</v>
      </c>
      <c r="B28" s="73" t="s">
        <v>101</v>
      </c>
      <c r="C28" s="83"/>
      <c r="D28" s="96"/>
      <c r="E28" s="85"/>
      <c r="F28" s="87">
        <f>+F24*F26</f>
        <v>-356797.1241330759</v>
      </c>
      <c r="H28" s="87">
        <f>+H24*H26</f>
        <v>-190677.41540913435</v>
      </c>
    </row>
    <row r="29" spans="3:5" ht="13.5" thickTop="1">
      <c r="C29" s="83"/>
      <c r="D29" s="82"/>
      <c r="E29" s="85"/>
    </row>
    <row r="30" spans="3:5" ht="12.75">
      <c r="C30" s="83"/>
      <c r="D30" s="82"/>
      <c r="E30" s="85"/>
    </row>
    <row r="31" spans="3:5" ht="12.75">
      <c r="C31" s="83"/>
      <c r="D31" s="82"/>
      <c r="E31" s="85"/>
    </row>
    <row r="32" spans="2:4" ht="12.75">
      <c r="B32" s="74" t="s">
        <v>123</v>
      </c>
      <c r="D32" s="82"/>
    </row>
    <row r="33" spans="1:8" ht="12.75">
      <c r="A33" s="77">
        <v>9</v>
      </c>
      <c r="B33" s="73" t="s">
        <v>94</v>
      </c>
      <c r="D33" s="78">
        <f>2132711-1163359-186794</f>
        <v>782558</v>
      </c>
      <c r="E33" s="77" t="s">
        <v>91</v>
      </c>
      <c r="F33" s="80">
        <f>+D33*F11</f>
        <v>509836.53699999995</v>
      </c>
      <c r="G33" s="98"/>
      <c r="H33" s="80">
        <f>+D33*H11</f>
        <v>272721.463</v>
      </c>
    </row>
    <row r="34" ht="12.75">
      <c r="D34" s="82"/>
    </row>
    <row r="35" ht="12.75">
      <c r="D35" s="82"/>
    </row>
    <row r="36" ht="12.75">
      <c r="A36" s="73" t="s">
        <v>72</v>
      </c>
    </row>
    <row r="37" spans="1:2" ht="12.75">
      <c r="A37" s="73" t="s">
        <v>66</v>
      </c>
      <c r="B37" s="73" t="s">
        <v>92</v>
      </c>
    </row>
    <row r="38" spans="1:8" ht="28.5" customHeight="1">
      <c r="A38" s="293" t="s">
        <v>91</v>
      </c>
      <c r="B38" s="307" t="s">
        <v>95</v>
      </c>
      <c r="C38" s="308"/>
      <c r="D38" s="308"/>
      <c r="E38" s="308"/>
      <c r="F38" s="308"/>
      <c r="G38" s="308"/>
      <c r="H38" s="308"/>
    </row>
    <row r="41" spans="2:5" s="81" customFormat="1" ht="12.75">
      <c r="B41" s="216"/>
      <c r="D41" s="217"/>
      <c r="E41" s="218"/>
    </row>
  </sheetData>
  <sheetProtection/>
  <mergeCells count="5">
    <mergeCell ref="B38:H38"/>
    <mergeCell ref="A1:I1"/>
    <mergeCell ref="A2:I2"/>
    <mergeCell ref="A4:I4"/>
    <mergeCell ref="A6:I6"/>
  </mergeCells>
  <printOptions horizontalCentered="1"/>
  <pageMargins left="0.75" right="0.54" top="1" bottom="1" header="0.5" footer="0.5"/>
  <pageSetup fitToHeight="1" fitToWidth="1" horizontalDpi="600" verticalDpi="600" orientation="portrait" scale="95" r:id="rId1"/>
  <headerFooter alignWithMargins="0">
    <oddHeader>&amp;C&amp;"Times New Roman,Regular"&amp;10Schedule 4 (E &amp;&amp; G)
Page 12 of 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Layout" workbookViewId="0" topLeftCell="A1">
      <selection activeCell="B32" sqref="B32"/>
    </sheetView>
  </sheetViews>
  <sheetFormatPr defaultColWidth="13.33203125" defaultRowHeight="10.5"/>
  <cols>
    <col min="1" max="1" width="6.83203125" style="73" customWidth="1"/>
    <col min="2" max="2" width="45.66015625" style="73" customWidth="1"/>
    <col min="3" max="3" width="2.33203125" style="73" customWidth="1"/>
    <col min="4" max="4" width="20.5" style="76" customWidth="1"/>
    <col min="5" max="5" width="3.83203125" style="77" customWidth="1"/>
    <col min="6" max="6" width="12.83203125" style="73" bestFit="1" customWidth="1"/>
    <col min="7" max="7" width="2.16015625" style="73" customWidth="1"/>
    <col min="8" max="8" width="12.83203125" style="73" bestFit="1" customWidth="1"/>
    <col min="9" max="9" width="2.83203125" style="73" bestFit="1" customWidth="1"/>
    <col min="10" max="16384" width="13.33203125" style="73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4" spans="1:9" ht="12.75">
      <c r="A4" s="294" t="s">
        <v>336</v>
      </c>
      <c r="B4" s="294"/>
      <c r="C4" s="294"/>
      <c r="D4" s="294"/>
      <c r="E4" s="294"/>
      <c r="F4" s="294"/>
      <c r="G4" s="294"/>
      <c r="H4" s="294"/>
      <c r="I4" s="301"/>
    </row>
    <row r="6" spans="1:9" ht="12.75">
      <c r="A6" s="294" t="s">
        <v>105</v>
      </c>
      <c r="B6" s="294"/>
      <c r="C6" s="294"/>
      <c r="D6" s="294"/>
      <c r="E6" s="294"/>
      <c r="F6" s="294"/>
      <c r="G6" s="294"/>
      <c r="H6" s="294"/>
      <c r="I6" s="301"/>
    </row>
    <row r="9" spans="6:8" ht="12.75">
      <c r="F9" s="77" t="s">
        <v>80</v>
      </c>
      <c r="G9" s="77"/>
      <c r="H9" s="77" t="s">
        <v>80</v>
      </c>
    </row>
    <row r="10" spans="4:8" ht="12.75">
      <c r="D10" s="79" t="s">
        <v>18</v>
      </c>
      <c r="F10" s="77" t="s">
        <v>81</v>
      </c>
      <c r="G10" s="77"/>
      <c r="H10" s="77" t="s">
        <v>82</v>
      </c>
    </row>
    <row r="11" spans="1:9" s="74" customFormat="1" ht="12.75">
      <c r="A11" s="74" t="s">
        <v>63</v>
      </c>
      <c r="B11" s="74" t="s">
        <v>64</v>
      </c>
      <c r="D11" s="75" t="s">
        <v>65</v>
      </c>
      <c r="F11" s="91">
        <v>0.6515</v>
      </c>
      <c r="G11" s="91"/>
      <c r="H11" s="91">
        <v>0.3485</v>
      </c>
      <c r="I11" s="77" t="s">
        <v>66</v>
      </c>
    </row>
    <row r="13" spans="2:8" ht="12.75">
      <c r="B13" s="74"/>
      <c r="D13" s="82"/>
      <c r="F13" s="83"/>
      <c r="H13" s="83"/>
    </row>
    <row r="14" spans="1:9" ht="12.75">
      <c r="A14" s="77">
        <v>1</v>
      </c>
      <c r="B14" s="73" t="s">
        <v>106</v>
      </c>
      <c r="C14" s="83"/>
      <c r="D14" s="100">
        <v>17849</v>
      </c>
      <c r="E14" s="85" t="s">
        <v>91</v>
      </c>
      <c r="F14" s="100">
        <f>+D14*F11</f>
        <v>11628.6235</v>
      </c>
      <c r="G14" s="83"/>
      <c r="H14" s="100">
        <f>+D14*H11</f>
        <v>6220.376499999999</v>
      </c>
      <c r="I14" s="83"/>
    </row>
    <row r="15" spans="1:8" ht="12.75">
      <c r="A15" s="77"/>
      <c r="D15" s="89"/>
      <c r="F15" s="89"/>
      <c r="H15" s="89"/>
    </row>
    <row r="16" spans="1:8" ht="12.75">
      <c r="A16" s="77">
        <v>2</v>
      </c>
      <c r="B16" s="73" t="s">
        <v>78</v>
      </c>
      <c r="D16" s="80">
        <f>-D14</f>
        <v>-17849</v>
      </c>
      <c r="F16" s="80">
        <f>-F14</f>
        <v>-11628.6235</v>
      </c>
      <c r="G16" s="98"/>
      <c r="H16" s="80">
        <f>-H14</f>
        <v>-6220.376499999999</v>
      </c>
    </row>
    <row r="17" spans="1:8" ht="12.75">
      <c r="A17" s="77"/>
      <c r="D17" s="82"/>
      <c r="H17" s="81"/>
    </row>
    <row r="18" spans="1:8" ht="12.75">
      <c r="A18" s="77">
        <v>3</v>
      </c>
      <c r="B18" s="73" t="s">
        <v>67</v>
      </c>
      <c r="C18" s="83"/>
      <c r="D18" s="190">
        <v>0.3067</v>
      </c>
      <c r="E18" s="85"/>
      <c r="H18" s="81"/>
    </row>
    <row r="19" spans="1:8" ht="12.75">
      <c r="A19" s="77"/>
      <c r="D19" s="84"/>
      <c r="H19" s="81"/>
    </row>
    <row r="20" spans="1:8" ht="12.75">
      <c r="A20" s="77">
        <v>4</v>
      </c>
      <c r="B20" s="73" t="s">
        <v>68</v>
      </c>
      <c r="D20" s="86">
        <f>-D16*D18</f>
        <v>5474.288299999999</v>
      </c>
      <c r="F20" s="86">
        <f>-F16*D18</f>
        <v>3566.4988274499997</v>
      </c>
      <c r="H20" s="86">
        <f>-H16*D18</f>
        <v>1907.7894725499996</v>
      </c>
    </row>
    <row r="21" spans="4:8" ht="12.75">
      <c r="D21" s="84"/>
      <c r="H21" s="81"/>
    </row>
    <row r="22" spans="1:11" ht="13.5" thickBot="1">
      <c r="A22" s="77">
        <v>5</v>
      </c>
      <c r="B22" s="73" t="s">
        <v>69</v>
      </c>
      <c r="D22" s="87">
        <f>+D16+D20</f>
        <v>-12374.7117</v>
      </c>
      <c r="F22" s="87">
        <f>+F16+F20</f>
        <v>-8062.1246725500005</v>
      </c>
      <c r="H22" s="87">
        <f>+H16+H20</f>
        <v>-4312.587027449999</v>
      </c>
      <c r="K22" s="99"/>
    </row>
    <row r="23" spans="1:4" ht="13.5" thickTop="1">
      <c r="A23" s="77"/>
      <c r="D23" s="82"/>
    </row>
    <row r="24" spans="1:8" ht="12.75">
      <c r="A24" s="77">
        <v>6</v>
      </c>
      <c r="B24" s="73" t="s">
        <v>70</v>
      </c>
      <c r="D24" s="88"/>
      <c r="F24" s="73">
        <f>+'Conversion Factor'!G22</f>
        <v>1.5089154</v>
      </c>
      <c r="H24" s="73">
        <f>+'Conversion Factor'!G40</f>
        <v>1.50749</v>
      </c>
    </row>
    <row r="25" ht="12.75">
      <c r="D25" s="82"/>
    </row>
    <row r="26" spans="1:8" ht="13.5" thickBot="1">
      <c r="A26" s="77">
        <v>7</v>
      </c>
      <c r="B26" s="73" t="s">
        <v>71</v>
      </c>
      <c r="C26" s="83"/>
      <c r="D26" s="96"/>
      <c r="E26" s="85"/>
      <c r="F26" s="87">
        <f>+F22*F24</f>
        <v>-12165.064075130653</v>
      </c>
      <c r="H26" s="87">
        <f>+H22*H24</f>
        <v>-6501.181818010599</v>
      </c>
    </row>
    <row r="27" spans="3:5" ht="13.5" thickTop="1">
      <c r="C27" s="83"/>
      <c r="D27" s="82"/>
      <c r="E27" s="85"/>
    </row>
    <row r="28" spans="3:5" ht="12.75">
      <c r="C28" s="83"/>
      <c r="D28" s="82"/>
      <c r="E28" s="85"/>
    </row>
    <row r="29" ht="12.75">
      <c r="D29" s="82"/>
    </row>
    <row r="30" ht="12.75">
      <c r="D30" s="82"/>
    </row>
    <row r="31" ht="12.75">
      <c r="A31" s="73" t="s">
        <v>72</v>
      </c>
    </row>
    <row r="32" spans="1:2" ht="12.75">
      <c r="A32" s="77" t="s">
        <v>66</v>
      </c>
      <c r="B32" s="73" t="s">
        <v>92</v>
      </c>
    </row>
    <row r="33" spans="1:2" ht="12.75">
      <c r="A33" s="77" t="s">
        <v>91</v>
      </c>
      <c r="B33" s="73" t="s">
        <v>107</v>
      </c>
    </row>
    <row r="36" ht="12.75">
      <c r="B36" s="97"/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13 of 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Layout" workbookViewId="0" topLeftCell="A1">
      <selection activeCell="A4" sqref="A4:I4"/>
    </sheetView>
  </sheetViews>
  <sheetFormatPr defaultColWidth="13.33203125" defaultRowHeight="10.5"/>
  <cols>
    <col min="1" max="1" width="6.83203125" style="73" customWidth="1"/>
    <col min="2" max="2" width="45.66015625" style="73" customWidth="1"/>
    <col min="3" max="3" width="2.33203125" style="73" customWidth="1"/>
    <col min="4" max="4" width="20.5" style="76" customWidth="1"/>
    <col min="5" max="5" width="3.83203125" style="77" customWidth="1"/>
    <col min="6" max="6" width="13.16015625" style="73" bestFit="1" customWidth="1"/>
    <col min="7" max="7" width="2.16015625" style="73" customWidth="1"/>
    <col min="8" max="8" width="13" style="73" bestFit="1" customWidth="1"/>
    <col min="9" max="9" width="2.83203125" style="73" bestFit="1" customWidth="1"/>
    <col min="10" max="16384" width="13.33203125" style="73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4" spans="1:9" ht="12.75">
      <c r="A4" s="294" t="s">
        <v>337</v>
      </c>
      <c r="B4" s="294"/>
      <c r="C4" s="294"/>
      <c r="D4" s="294"/>
      <c r="E4" s="294"/>
      <c r="F4" s="294"/>
      <c r="G4" s="294"/>
      <c r="H4" s="294"/>
      <c r="I4" s="301"/>
    </row>
    <row r="6" spans="1:9" ht="12.75">
      <c r="A6" s="294" t="s">
        <v>110</v>
      </c>
      <c r="B6" s="294"/>
      <c r="C6" s="294"/>
      <c r="D6" s="294"/>
      <c r="E6" s="294"/>
      <c r="F6" s="294"/>
      <c r="G6" s="294"/>
      <c r="H6" s="294"/>
      <c r="I6" s="301"/>
    </row>
    <row r="9" spans="6:8" ht="12.75">
      <c r="F9" s="77" t="s">
        <v>80</v>
      </c>
      <c r="G9" s="77"/>
      <c r="H9" s="77" t="s">
        <v>80</v>
      </c>
    </row>
    <row r="10" spans="4:8" ht="12.75">
      <c r="D10" s="79" t="s">
        <v>18</v>
      </c>
      <c r="F10" s="77" t="s">
        <v>81</v>
      </c>
      <c r="G10" s="77"/>
      <c r="H10" s="77" t="s">
        <v>82</v>
      </c>
    </row>
    <row r="11" spans="1:9" s="74" customFormat="1" ht="12.75">
      <c r="A11" s="74" t="s">
        <v>63</v>
      </c>
      <c r="B11" s="74" t="s">
        <v>64</v>
      </c>
      <c r="D11" s="75" t="s">
        <v>65</v>
      </c>
      <c r="F11" s="91">
        <v>0.5926</v>
      </c>
      <c r="G11" s="91"/>
      <c r="H11" s="91">
        <v>0.4074</v>
      </c>
      <c r="I11" s="77" t="s">
        <v>66</v>
      </c>
    </row>
    <row r="13" spans="2:8" ht="12.75">
      <c r="B13" s="74"/>
      <c r="D13" s="82"/>
      <c r="F13" s="83"/>
      <c r="H13" s="83"/>
    </row>
    <row r="14" spans="1:8" ht="12.75">
      <c r="A14" s="77">
        <v>1</v>
      </c>
      <c r="B14" s="101" t="s">
        <v>111</v>
      </c>
      <c r="D14" s="80">
        <f>+F14+H14</f>
        <v>1885789.1069507967</v>
      </c>
      <c r="E14" s="77" t="s">
        <v>91</v>
      </c>
      <c r="F14" s="80">
        <v>1117518.624779042</v>
      </c>
      <c r="H14" s="80">
        <v>768270.4821717545</v>
      </c>
    </row>
    <row r="15" spans="1:8" ht="12.75">
      <c r="A15" s="77"/>
      <c r="B15" s="74"/>
      <c r="D15" s="82"/>
      <c r="F15" s="83"/>
      <c r="H15" s="83"/>
    </row>
    <row r="16" spans="1:9" ht="12.75">
      <c r="A16" s="77">
        <v>2</v>
      </c>
      <c r="B16" s="73" t="s">
        <v>242</v>
      </c>
      <c r="C16" s="83"/>
      <c r="D16" s="100">
        <f>+F16+H16</f>
        <v>1774754.250201161</v>
      </c>
      <c r="E16" s="85" t="s">
        <v>114</v>
      </c>
      <c r="F16" s="100">
        <v>1051719.3686692081</v>
      </c>
      <c r="G16" s="83"/>
      <c r="H16" s="100">
        <v>723034.881531953</v>
      </c>
      <c r="I16" s="83"/>
    </row>
    <row r="17" spans="1:8" ht="12.75">
      <c r="A17" s="77"/>
      <c r="D17" s="89"/>
      <c r="F17" s="89"/>
      <c r="H17" s="89"/>
    </row>
    <row r="18" spans="1:8" ht="12.75">
      <c r="A18" s="77">
        <v>3</v>
      </c>
      <c r="B18" s="73" t="s">
        <v>78</v>
      </c>
      <c r="D18" s="80">
        <f>+D16-D14</f>
        <v>-111034.85674963566</v>
      </c>
      <c r="F18" s="80">
        <f>+F16-F14</f>
        <v>-65799.25610983395</v>
      </c>
      <c r="G18" s="98"/>
      <c r="H18" s="80">
        <f>+H16-H14</f>
        <v>-45235.60063980147</v>
      </c>
    </row>
    <row r="19" spans="1:8" ht="12.75">
      <c r="A19" s="77"/>
      <c r="D19" s="82"/>
      <c r="H19" s="81"/>
    </row>
    <row r="20" spans="1:8" ht="12.75">
      <c r="A20" s="77">
        <v>4</v>
      </c>
      <c r="B20" s="73" t="s">
        <v>67</v>
      </c>
      <c r="C20" s="83"/>
      <c r="D20" s="190">
        <v>0.3067</v>
      </c>
      <c r="E20" s="85"/>
      <c r="H20" s="81"/>
    </row>
    <row r="21" spans="4:8" ht="12.75">
      <c r="D21" s="84"/>
      <c r="H21" s="81"/>
    </row>
    <row r="22" spans="1:8" ht="12.75">
      <c r="A22" s="77">
        <v>5</v>
      </c>
      <c r="B22" s="73" t="s">
        <v>68</v>
      </c>
      <c r="D22" s="86">
        <f>-D18*D20</f>
        <v>34054.39056511325</v>
      </c>
      <c r="F22" s="86">
        <f>-F18*D20</f>
        <v>20180.63184888607</v>
      </c>
      <c r="H22" s="86">
        <f>-H18*D20</f>
        <v>13873.75871622711</v>
      </c>
    </row>
    <row r="23" spans="1:8" ht="12.75">
      <c r="A23" s="77"/>
      <c r="D23" s="84"/>
      <c r="H23" s="81"/>
    </row>
    <row r="24" spans="1:11" ht="13.5" thickBot="1">
      <c r="A24" s="77">
        <v>6</v>
      </c>
      <c r="B24" s="73" t="s">
        <v>69</v>
      </c>
      <c r="D24" s="87">
        <f>+D18+D22</f>
        <v>-76980.4661845224</v>
      </c>
      <c r="F24" s="87">
        <f>+F18+F22</f>
        <v>-45618.62426094788</v>
      </c>
      <c r="H24" s="87">
        <f>+H18+H22</f>
        <v>-31361.841923574364</v>
      </c>
      <c r="K24" s="99"/>
    </row>
    <row r="25" ht="13.5" thickTop="1">
      <c r="D25" s="82"/>
    </row>
    <row r="26" spans="1:8" ht="12.75">
      <c r="A26" s="77">
        <v>7</v>
      </c>
      <c r="B26" s="73" t="s">
        <v>70</v>
      </c>
      <c r="D26" s="88"/>
      <c r="F26" s="73">
        <f>+'Conversion Factor'!G22</f>
        <v>1.5089154</v>
      </c>
      <c r="H26" s="73">
        <f>+'Conversion Factor'!G40</f>
        <v>1.50749</v>
      </c>
    </row>
    <row r="27" ht="12.75">
      <c r="D27" s="82"/>
    </row>
    <row r="28" spans="2:8" ht="13.5" thickBot="1">
      <c r="B28" s="73" t="s">
        <v>71</v>
      </c>
      <c r="C28" s="83"/>
      <c r="D28" s="96"/>
      <c r="E28" s="85"/>
      <c r="F28" s="87">
        <f>+F24*F26</f>
        <v>-68834.64467415787</v>
      </c>
      <c r="H28" s="87">
        <f>+H24*H26</f>
        <v>-47277.663081369115</v>
      </c>
    </row>
    <row r="29" spans="3:5" ht="13.5" thickTop="1">
      <c r="C29" s="83"/>
      <c r="D29" s="82"/>
      <c r="E29" s="85"/>
    </row>
    <row r="30" spans="3:5" ht="12.75">
      <c r="C30" s="83"/>
      <c r="D30" s="82"/>
      <c r="E30" s="85"/>
    </row>
    <row r="31" ht="12.75">
      <c r="D31" s="82"/>
    </row>
    <row r="32" ht="12.75">
      <c r="D32" s="82"/>
    </row>
    <row r="33" ht="12.75">
      <c r="A33" s="73" t="s">
        <v>72</v>
      </c>
    </row>
    <row r="34" spans="1:2" ht="12.75">
      <c r="A34" s="77" t="s">
        <v>66</v>
      </c>
      <c r="B34" s="73" t="s">
        <v>112</v>
      </c>
    </row>
    <row r="35" spans="1:2" ht="12.75">
      <c r="A35" s="77" t="s">
        <v>91</v>
      </c>
      <c r="B35" s="73" t="s">
        <v>113</v>
      </c>
    </row>
    <row r="36" spans="1:2" ht="12.75">
      <c r="A36" s="77" t="s">
        <v>114</v>
      </c>
      <c r="B36" s="73" t="s">
        <v>115</v>
      </c>
    </row>
    <row r="38" ht="12.75">
      <c r="B38" s="97"/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14 of 16&amp;R&amp;"Times New Roman,Regular"&amp;10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OutlineSymbols="0" view="pageLayout" workbookViewId="0" topLeftCell="B1">
      <selection activeCell="I5" sqref="I5"/>
    </sheetView>
  </sheetViews>
  <sheetFormatPr defaultColWidth="14.66015625" defaultRowHeight="10.5"/>
  <cols>
    <col min="1" max="1" width="7.16015625" style="239" customWidth="1"/>
    <col min="2" max="2" width="58.33203125" style="239" customWidth="1"/>
    <col min="3" max="3" width="17.66015625" style="239" customWidth="1"/>
    <col min="4" max="4" width="4.83203125" style="239" customWidth="1"/>
    <col min="5" max="5" width="17.66015625" style="239" customWidth="1"/>
    <col min="6" max="6" width="1.66796875" style="239" customWidth="1"/>
    <col min="7" max="7" width="16.66015625" style="239" customWidth="1"/>
    <col min="8" max="16384" width="14.66015625" style="239" customWidth="1"/>
  </cols>
  <sheetData>
    <row r="1" spans="1:7" ht="12.75">
      <c r="A1" s="294" t="s">
        <v>73</v>
      </c>
      <c r="B1" s="294"/>
      <c r="C1" s="294"/>
      <c r="D1" s="294"/>
      <c r="E1" s="294"/>
      <c r="F1" s="294"/>
      <c r="G1" s="294"/>
    </row>
    <row r="3" spans="1:7" ht="12.75">
      <c r="A3" s="295" t="s">
        <v>291</v>
      </c>
      <c r="B3" s="295"/>
      <c r="C3" s="295"/>
      <c r="D3" s="295"/>
      <c r="E3" s="295"/>
      <c r="F3" s="295"/>
      <c r="G3" s="295"/>
    </row>
    <row r="4" spans="1:7" ht="12.75">
      <c r="A4" s="294" t="s">
        <v>74</v>
      </c>
      <c r="B4" s="294"/>
      <c r="C4" s="294"/>
      <c r="D4" s="294"/>
      <c r="E4" s="294"/>
      <c r="F4" s="294"/>
      <c r="G4" s="294"/>
    </row>
    <row r="5" ht="12.75">
      <c r="A5" s="240"/>
    </row>
    <row r="6" s="241" customFormat="1" ht="12.75"/>
    <row r="7" spans="1:5" ht="12.75">
      <c r="A7" s="241"/>
      <c r="B7" s="241"/>
      <c r="C7" s="242" t="s">
        <v>119</v>
      </c>
      <c r="D7" s="241"/>
      <c r="E7" s="242" t="s">
        <v>239</v>
      </c>
    </row>
    <row r="8" spans="1:5" ht="12.75">
      <c r="A8" s="243" t="s">
        <v>63</v>
      </c>
      <c r="C8" s="242" t="s">
        <v>276</v>
      </c>
      <c r="D8" s="241"/>
      <c r="E8" s="242" t="s">
        <v>276</v>
      </c>
    </row>
    <row r="9" spans="1:7" ht="13.5" thickBot="1">
      <c r="A9" s="243" t="s">
        <v>277</v>
      </c>
      <c r="B9" s="243" t="s">
        <v>64</v>
      </c>
      <c r="C9" s="243" t="s">
        <v>278</v>
      </c>
      <c r="D9" s="241"/>
      <c r="E9" s="243" t="s">
        <v>278</v>
      </c>
      <c r="F9" s="242"/>
      <c r="G9" s="244" t="s">
        <v>279</v>
      </c>
    </row>
    <row r="10" spans="1:7" ht="12.75">
      <c r="A10" s="245">
        <v>1</v>
      </c>
      <c r="B10" s="246"/>
      <c r="C10" s="245" t="s">
        <v>280</v>
      </c>
      <c r="D10" s="242"/>
      <c r="E10" s="245" t="s">
        <v>281</v>
      </c>
      <c r="F10" s="243"/>
      <c r="G10" s="243" t="s">
        <v>282</v>
      </c>
    </row>
    <row r="11" ht="12.75">
      <c r="A11" s="243">
        <v>2</v>
      </c>
    </row>
    <row r="12" ht="12.75">
      <c r="A12" s="243">
        <v>3</v>
      </c>
    </row>
    <row r="13" spans="1:7" ht="12.75">
      <c r="A13" s="243">
        <v>4</v>
      </c>
      <c r="B13" s="239" t="s">
        <v>243</v>
      </c>
      <c r="C13" s="247">
        <f>+Gas!C48</f>
        <v>1349251535.6161761</v>
      </c>
      <c r="D13" s="248"/>
      <c r="E13" s="247">
        <f>+Gas!U48</f>
        <v>1359714516.9554589</v>
      </c>
      <c r="G13" s="255">
        <f>+E13-C13</f>
        <v>10462981.339282751</v>
      </c>
    </row>
    <row r="14" spans="1:7" ht="12.75">
      <c r="A14" s="243">
        <v>5</v>
      </c>
      <c r="C14" s="248"/>
      <c r="D14" s="248"/>
      <c r="E14" s="248"/>
      <c r="G14" s="248"/>
    </row>
    <row r="15" spans="1:7" ht="12.75">
      <c r="A15" s="243">
        <v>6</v>
      </c>
      <c r="B15" s="239" t="s">
        <v>283</v>
      </c>
      <c r="C15" s="249">
        <f>+Gas!C46</f>
        <v>79922610.77932787</v>
      </c>
      <c r="D15" s="248"/>
      <c r="E15" s="249">
        <f>+Gas!U46</f>
        <v>102197957.14500326</v>
      </c>
      <c r="G15" s="252">
        <f>+E15-C15</f>
        <v>22275346.36567539</v>
      </c>
    </row>
    <row r="16" ht="12.75">
      <c r="A16" s="243">
        <v>7</v>
      </c>
    </row>
    <row r="17" spans="1:7" ht="12.75">
      <c r="A17" s="243">
        <v>8</v>
      </c>
      <c r="B17" s="239" t="s">
        <v>284</v>
      </c>
      <c r="C17" s="250">
        <f>ROUND(C15/C13,5)</f>
        <v>0.05923</v>
      </c>
      <c r="E17" s="250">
        <f>ROUND(E15/E13,5)</f>
        <v>0.07516</v>
      </c>
      <c r="G17" s="250"/>
    </row>
    <row r="18" ht="12.75">
      <c r="A18" s="243">
        <v>9</v>
      </c>
    </row>
    <row r="19" spans="1:7" ht="12.75">
      <c r="A19" s="243">
        <v>10</v>
      </c>
      <c r="B19" s="239" t="s">
        <v>285</v>
      </c>
      <c r="C19" s="250">
        <f>+Electric!C50</f>
        <v>0.086</v>
      </c>
      <c r="E19" s="250">
        <f>+Electric!C52</f>
        <v>0.0786</v>
      </c>
      <c r="G19" s="250"/>
    </row>
    <row r="20" ht="12.75">
      <c r="A20" s="243">
        <v>11</v>
      </c>
    </row>
    <row r="21" spans="1:7" ht="12.75">
      <c r="A21" s="243">
        <v>12</v>
      </c>
      <c r="B21" s="239" t="s">
        <v>286</v>
      </c>
      <c r="C21" s="251">
        <f>ROUND(C19*C13,0)</f>
        <v>116035632</v>
      </c>
      <c r="E21" s="251">
        <f>ROUND(E19*E13,0)</f>
        <v>106873561</v>
      </c>
      <c r="G21" s="263">
        <f>+E21-C21</f>
        <v>-9162071</v>
      </c>
    </row>
    <row r="22" ht="12.75">
      <c r="A22" s="243">
        <v>13</v>
      </c>
    </row>
    <row r="23" spans="1:7" ht="12.75">
      <c r="A23" s="243">
        <v>14</v>
      </c>
      <c r="B23" s="239" t="s">
        <v>287</v>
      </c>
      <c r="C23" s="252">
        <f>C21-C15</f>
        <v>36113021.22067213</v>
      </c>
      <c r="D23" s="253"/>
      <c r="E23" s="252">
        <f>E21-E15</f>
        <v>4675603.854996741</v>
      </c>
      <c r="G23" s="252">
        <f>-G15+G21</f>
        <v>-31437417.36567539</v>
      </c>
    </row>
    <row r="24" ht="12.75">
      <c r="A24" s="243">
        <v>15</v>
      </c>
    </row>
    <row r="25" spans="1:7" ht="12.75">
      <c r="A25" s="243">
        <v>16</v>
      </c>
      <c r="B25" s="239" t="s">
        <v>288</v>
      </c>
      <c r="C25" s="254">
        <f>+'Conversion Factor'!E40</f>
        <v>1.6079</v>
      </c>
      <c r="E25" s="254">
        <f>+'Conversion Factor'!G40</f>
        <v>1.50749</v>
      </c>
      <c r="G25" s="291" t="s">
        <v>341</v>
      </c>
    </row>
    <row r="26" ht="12.75">
      <c r="A26" s="243">
        <v>17</v>
      </c>
    </row>
    <row r="27" spans="1:7" ht="13.5" thickBot="1">
      <c r="A27" s="243">
        <v>18</v>
      </c>
      <c r="B27" s="239" t="s">
        <v>289</v>
      </c>
      <c r="C27" s="290">
        <f>ROUND(C25*C23,1)-1</f>
        <v>58066125.8</v>
      </c>
      <c r="D27" s="253"/>
      <c r="E27" s="290">
        <f>ROUND(E25*E23,1)-1</f>
        <v>7048425.1</v>
      </c>
      <c r="G27" s="290">
        <f>+E27-C27</f>
        <v>-51017700.699999996</v>
      </c>
    </row>
    <row r="28" ht="13.5" thickTop="1">
      <c r="A28" s="243"/>
    </row>
    <row r="29" ht="12.75">
      <c r="A29" s="243"/>
    </row>
    <row r="30" ht="12.75">
      <c r="A30" s="243"/>
    </row>
    <row r="31" ht="12.75">
      <c r="A31" s="243"/>
    </row>
    <row r="32" ht="12.75">
      <c r="A32" s="243"/>
    </row>
    <row r="33" ht="12.75">
      <c r="A33" s="243"/>
    </row>
    <row r="34" ht="12.75">
      <c r="A34" s="243"/>
    </row>
    <row r="35" ht="12.75">
      <c r="A35" s="243"/>
    </row>
    <row r="36" spans="1:3" ht="12.75">
      <c r="A36" s="243"/>
      <c r="C36" s="256"/>
    </row>
    <row r="37" spans="1:3" ht="12.75">
      <c r="A37" s="243"/>
      <c r="C37" s="256"/>
    </row>
    <row r="38" spans="1:3" ht="12.75">
      <c r="A38" s="243"/>
      <c r="C38" s="256"/>
    </row>
    <row r="39" ht="12.75">
      <c r="A39" s="243"/>
    </row>
    <row r="40" ht="12.75">
      <c r="A40" s="243"/>
    </row>
    <row r="41" ht="12.75">
      <c r="A41" s="243"/>
    </row>
    <row r="42" ht="12.75">
      <c r="A42" s="243"/>
    </row>
    <row r="43" ht="12.75">
      <c r="A43" s="243"/>
    </row>
    <row r="44" ht="12.75">
      <c r="A44" s="243"/>
    </row>
    <row r="45" ht="12.75">
      <c r="A45" s="243"/>
    </row>
    <row r="46" ht="12.75">
      <c r="A46" s="243"/>
    </row>
    <row r="47" ht="12.75">
      <c r="A47" s="243"/>
    </row>
    <row r="48" ht="12.75">
      <c r="A48" s="243"/>
    </row>
    <row r="49" ht="12.75">
      <c r="A49" s="243"/>
    </row>
    <row r="50" ht="12.75">
      <c r="A50" s="243"/>
    </row>
    <row r="51" ht="12.75">
      <c r="A51" s="243"/>
    </row>
    <row r="52" ht="12.75">
      <c r="A52" s="243"/>
    </row>
    <row r="53" ht="12.75">
      <c r="A53" s="243"/>
    </row>
    <row r="54" ht="12.75">
      <c r="A54" s="243"/>
    </row>
    <row r="55" ht="12.75">
      <c r="A55" s="243"/>
    </row>
  </sheetData>
  <sheetProtection/>
  <mergeCells count="3">
    <mergeCell ref="A1:G1"/>
    <mergeCell ref="A4:G4"/>
    <mergeCell ref="A3:G3"/>
  </mergeCells>
  <printOptions horizontalCentered="1"/>
  <pageMargins left="0.5" right="0.5" top="0.86" bottom="0.5" header="0" footer="0.25"/>
  <pageSetup fitToHeight="1" fitToWidth="1" horizontalDpi="300" verticalDpi="300" orientation="landscape" r:id="rId1"/>
  <headerFooter alignWithMargins="0">
    <oddHeader>&amp;R&amp;"Times New Roman,Regular"&amp;12Exhibit No.___(MJM-4)
Schedule 1(G)
Page 1 of 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Layout" workbookViewId="0" topLeftCell="A1">
      <selection activeCell="A2" sqref="A2:I2"/>
    </sheetView>
  </sheetViews>
  <sheetFormatPr defaultColWidth="13.33203125" defaultRowHeight="10.5"/>
  <cols>
    <col min="1" max="1" width="6.83203125" style="73" customWidth="1"/>
    <col min="2" max="2" width="45.66015625" style="73" customWidth="1"/>
    <col min="3" max="3" width="2.33203125" style="73" customWidth="1"/>
    <col min="4" max="4" width="20.5" style="76" customWidth="1"/>
    <col min="5" max="5" width="3.83203125" style="77" customWidth="1"/>
    <col min="6" max="6" width="12.83203125" style="73" bestFit="1" customWidth="1"/>
    <col min="7" max="7" width="2.16015625" style="73" customWidth="1"/>
    <col min="8" max="8" width="12.83203125" style="73" bestFit="1" customWidth="1"/>
    <col min="9" max="9" width="2.83203125" style="73" bestFit="1" customWidth="1"/>
    <col min="10" max="16384" width="13.33203125" style="73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301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301"/>
    </row>
    <row r="4" spans="1:9" ht="12.75">
      <c r="A4" s="294" t="s">
        <v>338</v>
      </c>
      <c r="B4" s="294"/>
      <c r="C4" s="294"/>
      <c r="D4" s="294"/>
      <c r="E4" s="294"/>
      <c r="F4" s="294"/>
      <c r="G4" s="294"/>
      <c r="H4" s="294"/>
      <c r="I4" s="301"/>
    </row>
    <row r="6" spans="1:9" ht="12.75">
      <c r="A6" s="294" t="s">
        <v>97</v>
      </c>
      <c r="B6" s="294"/>
      <c r="C6" s="294"/>
      <c r="D6" s="294"/>
      <c r="E6" s="294"/>
      <c r="F6" s="294"/>
      <c r="G6" s="294"/>
      <c r="H6" s="294"/>
      <c r="I6" s="301"/>
    </row>
    <row r="9" spans="6:8" ht="12.75">
      <c r="F9" s="77" t="s">
        <v>80</v>
      </c>
      <c r="G9" s="77"/>
      <c r="H9" s="77" t="s">
        <v>80</v>
      </c>
    </row>
    <row r="10" spans="4:8" ht="12.75">
      <c r="D10" s="79" t="s">
        <v>18</v>
      </c>
      <c r="F10" s="77" t="s">
        <v>81</v>
      </c>
      <c r="G10" s="77"/>
      <c r="H10" s="77" t="s">
        <v>82</v>
      </c>
    </row>
    <row r="11" spans="1:9" s="74" customFormat="1" ht="12.75">
      <c r="A11" s="74" t="s">
        <v>63</v>
      </c>
      <c r="B11" s="74" t="s">
        <v>64</v>
      </c>
      <c r="D11" s="75" t="s">
        <v>65</v>
      </c>
      <c r="F11" s="91">
        <v>0.6515</v>
      </c>
      <c r="G11" s="91"/>
      <c r="H11" s="91">
        <v>0.3485</v>
      </c>
      <c r="I11" s="77" t="s">
        <v>66</v>
      </c>
    </row>
    <row r="13" spans="2:8" ht="12.75">
      <c r="B13" s="74"/>
      <c r="D13" s="82"/>
      <c r="F13" s="83"/>
      <c r="H13" s="83"/>
    </row>
    <row r="14" spans="1:9" ht="12.75">
      <c r="A14" s="77">
        <v>1</v>
      </c>
      <c r="B14" s="73" t="s">
        <v>98</v>
      </c>
      <c r="C14" s="83"/>
      <c r="D14" s="100">
        <v>21541</v>
      </c>
      <c r="E14" s="85" t="s">
        <v>91</v>
      </c>
      <c r="F14" s="100">
        <f>+D14*F11</f>
        <v>14033.9615</v>
      </c>
      <c r="G14" s="83"/>
      <c r="H14" s="100">
        <f>+D14*H11</f>
        <v>7507.0385</v>
      </c>
      <c r="I14" s="83"/>
    </row>
    <row r="15" spans="1:8" ht="12.75">
      <c r="A15" s="77"/>
      <c r="D15" s="89"/>
      <c r="F15" s="89"/>
      <c r="H15" s="89"/>
    </row>
    <row r="16" spans="1:8" ht="12.75">
      <c r="A16" s="77">
        <v>2</v>
      </c>
      <c r="B16" s="73" t="s">
        <v>78</v>
      </c>
      <c r="D16" s="80">
        <f>-D14</f>
        <v>-21541</v>
      </c>
      <c r="F16" s="80">
        <f>-F14</f>
        <v>-14033.9615</v>
      </c>
      <c r="G16" s="98"/>
      <c r="H16" s="80">
        <f>-H14</f>
        <v>-7507.0385</v>
      </c>
    </row>
    <row r="17" spans="1:8" ht="12.75">
      <c r="A17" s="77"/>
      <c r="D17" s="82"/>
      <c r="H17" s="81"/>
    </row>
    <row r="18" spans="1:8" ht="12.75">
      <c r="A18" s="77">
        <v>3</v>
      </c>
      <c r="B18" s="73" t="s">
        <v>67</v>
      </c>
      <c r="C18" s="83"/>
      <c r="D18" s="190">
        <v>0.3067</v>
      </c>
      <c r="E18" s="85"/>
      <c r="H18" s="81"/>
    </row>
    <row r="19" spans="1:8" ht="12.75">
      <c r="A19" s="77"/>
      <c r="D19" s="84"/>
      <c r="H19" s="81"/>
    </row>
    <row r="20" spans="1:8" ht="12.75">
      <c r="A20" s="77">
        <v>4</v>
      </c>
      <c r="B20" s="73" t="s">
        <v>68</v>
      </c>
      <c r="D20" s="86">
        <f>-D16*D18</f>
        <v>6606.624699999999</v>
      </c>
      <c r="F20" s="86">
        <f>-F16*D18</f>
        <v>4304.21599205</v>
      </c>
      <c r="H20" s="86">
        <f>-H16*D18</f>
        <v>2302.4087079499996</v>
      </c>
    </row>
    <row r="21" spans="4:8" ht="12.75">
      <c r="D21" s="84"/>
      <c r="H21" s="81"/>
    </row>
    <row r="22" spans="1:11" ht="13.5" thickBot="1">
      <c r="A22" s="77">
        <v>5</v>
      </c>
      <c r="B22" s="73" t="s">
        <v>69</v>
      </c>
      <c r="D22" s="87">
        <f>+D16+D20</f>
        <v>-14934.3753</v>
      </c>
      <c r="F22" s="87">
        <f>+F16+F20</f>
        <v>-9729.74550795</v>
      </c>
      <c r="H22" s="87">
        <f>+H16+H20</f>
        <v>-5204.62979205</v>
      </c>
      <c r="K22" s="99"/>
    </row>
    <row r="23" spans="1:4" ht="13.5" thickTop="1">
      <c r="A23" s="77"/>
      <c r="D23" s="82"/>
    </row>
    <row r="24" spans="1:8" ht="12.75">
      <c r="A24" s="77">
        <v>6</v>
      </c>
      <c r="B24" s="73" t="s">
        <v>70</v>
      </c>
      <c r="D24" s="88"/>
      <c r="F24" s="73">
        <f>+'Conversion Factor'!G22</f>
        <v>1.5089154</v>
      </c>
      <c r="H24" s="73">
        <f>+'Conversion Factor'!G40</f>
        <v>1.50749</v>
      </c>
    </row>
    <row r="25" ht="12.75">
      <c r="D25" s="82"/>
    </row>
    <row r="26" spans="1:8" ht="13.5" thickBot="1">
      <c r="A26" s="77">
        <v>7</v>
      </c>
      <c r="B26" s="73" t="s">
        <v>71</v>
      </c>
      <c r="C26" s="83"/>
      <c r="D26" s="96"/>
      <c r="E26" s="85"/>
      <c r="F26" s="87">
        <f>+F22*F24</f>
        <v>-14681.362835026577</v>
      </c>
      <c r="H26" s="87">
        <f>+H22*H24</f>
        <v>-7845.927365217454</v>
      </c>
    </row>
    <row r="27" spans="3:5" ht="13.5" thickTop="1">
      <c r="C27" s="83"/>
      <c r="D27" s="82"/>
      <c r="E27" s="85"/>
    </row>
    <row r="28" spans="3:5" ht="12.75">
      <c r="C28" s="83"/>
      <c r="D28" s="82"/>
      <c r="E28" s="85"/>
    </row>
    <row r="29" ht="12.75">
      <c r="D29" s="82"/>
    </row>
    <row r="30" ht="12.75">
      <c r="D30" s="82"/>
    </row>
    <row r="31" ht="12.75">
      <c r="A31" s="73" t="s">
        <v>72</v>
      </c>
    </row>
    <row r="32" spans="1:2" ht="12.75">
      <c r="A32" s="73" t="s">
        <v>66</v>
      </c>
      <c r="B32" s="73" t="s">
        <v>92</v>
      </c>
    </row>
    <row r="33" spans="1:2" ht="12.75">
      <c r="A33" s="73" t="s">
        <v>91</v>
      </c>
      <c r="B33" s="73" t="s">
        <v>102</v>
      </c>
    </row>
    <row r="36" ht="12.75">
      <c r="B36" s="97"/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15 of 16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43">
      <selection activeCell="I5" sqref="I5"/>
    </sheetView>
  </sheetViews>
  <sheetFormatPr defaultColWidth="9.33203125" defaultRowHeight="10.5"/>
  <cols>
    <col min="1" max="1" width="5.83203125" style="233" bestFit="1" customWidth="1"/>
    <col min="2" max="2" width="39.66015625" style="0" bestFit="1" customWidth="1"/>
    <col min="3" max="3" width="18.66015625" style="0" customWidth="1"/>
    <col min="4" max="4" width="1.171875" style="0" customWidth="1"/>
    <col min="5" max="5" width="18.5" style="0" customWidth="1"/>
    <col min="6" max="6" width="3.66015625" style="0" customWidth="1"/>
    <col min="7" max="7" width="18.5" style="0" bestFit="1" customWidth="1"/>
    <col min="8" max="8" width="1.5" style="0" customWidth="1"/>
    <col min="9" max="9" width="18" style="0" bestFit="1" customWidth="1"/>
  </cols>
  <sheetData>
    <row r="1" spans="1:9" ht="12.75">
      <c r="A1" s="294" t="s">
        <v>73</v>
      </c>
      <c r="B1" s="294"/>
      <c r="C1" s="294"/>
      <c r="D1" s="294"/>
      <c r="E1" s="294"/>
      <c r="F1" s="294"/>
      <c r="G1" s="294"/>
      <c r="H1" s="294"/>
      <c r="I1" s="294"/>
    </row>
    <row r="2" spans="1:9" ht="12.75">
      <c r="A2" s="294" t="s">
        <v>74</v>
      </c>
      <c r="B2" s="294"/>
      <c r="C2" s="294"/>
      <c r="D2" s="294"/>
      <c r="E2" s="294"/>
      <c r="F2" s="294"/>
      <c r="G2" s="294"/>
      <c r="H2" s="294"/>
      <c r="I2" s="294"/>
    </row>
    <row r="3" spans="1:8" ht="12.75">
      <c r="A3" s="73"/>
      <c r="B3" s="73"/>
      <c r="C3" s="76"/>
      <c r="D3" s="77"/>
      <c r="E3" s="73"/>
      <c r="F3" s="73"/>
      <c r="G3" s="73"/>
      <c r="H3" s="73"/>
    </row>
    <row r="4" spans="1:9" ht="12.75">
      <c r="A4" s="294" t="s">
        <v>339</v>
      </c>
      <c r="B4" s="294"/>
      <c r="C4" s="294"/>
      <c r="D4" s="294"/>
      <c r="E4" s="294"/>
      <c r="F4" s="294"/>
      <c r="G4" s="294"/>
      <c r="H4" s="294"/>
      <c r="I4" s="294"/>
    </row>
    <row r="5" spans="1:8" ht="12.75">
      <c r="A5" s="73"/>
      <c r="B5" s="73"/>
      <c r="C5" s="76"/>
      <c r="D5" s="77"/>
      <c r="E5" s="73"/>
      <c r="F5" s="73"/>
      <c r="G5" s="73"/>
      <c r="H5" s="73"/>
    </row>
    <row r="6" spans="1:9" ht="12.75">
      <c r="A6" s="294" t="s">
        <v>250</v>
      </c>
      <c r="B6" s="294"/>
      <c r="C6" s="294"/>
      <c r="D6" s="294"/>
      <c r="E6" s="294"/>
      <c r="F6" s="294"/>
      <c r="G6" s="294"/>
      <c r="H6" s="294"/>
      <c r="I6" s="294"/>
    </row>
    <row r="9" spans="1:9" s="93" customFormat="1" ht="12.75">
      <c r="A9" s="94"/>
      <c r="C9" s="302" t="s">
        <v>81</v>
      </c>
      <c r="D9" s="302"/>
      <c r="E9" s="302"/>
      <c r="G9" s="302" t="s">
        <v>82</v>
      </c>
      <c r="H9" s="302"/>
      <c r="I9" s="302"/>
    </row>
    <row r="10" spans="1:9" s="132" customFormat="1" ht="12.75">
      <c r="A10" s="132" t="s">
        <v>63</v>
      </c>
      <c r="B10" s="132" t="s">
        <v>64</v>
      </c>
      <c r="C10" s="232" t="s">
        <v>254</v>
      </c>
      <c r="D10" s="232"/>
      <c r="E10" s="232" t="s">
        <v>239</v>
      </c>
      <c r="G10" s="232" t="s">
        <v>254</v>
      </c>
      <c r="H10" s="232"/>
      <c r="I10" s="232" t="s">
        <v>239</v>
      </c>
    </row>
    <row r="11" s="93" customFormat="1" ht="12.75">
      <c r="A11" s="94"/>
    </row>
    <row r="12" spans="1:9" s="93" customFormat="1" ht="12.75">
      <c r="A12" s="94">
        <v>1</v>
      </c>
      <c r="B12" s="93" t="s">
        <v>244</v>
      </c>
      <c r="C12" s="225">
        <v>3298556021</v>
      </c>
      <c r="D12" s="224"/>
      <c r="E12" s="225">
        <f>+Electric!Z48</f>
        <v>3253546792.170473</v>
      </c>
      <c r="G12" s="225">
        <v>1349251539</v>
      </c>
      <c r="H12" s="224" t="s">
        <v>0</v>
      </c>
      <c r="I12" s="225">
        <f>+Gas!U48</f>
        <v>1359714516.9554589</v>
      </c>
    </row>
    <row r="13" spans="1:9" s="93" customFormat="1" ht="12.75">
      <c r="A13" s="94">
        <v>2</v>
      </c>
      <c r="B13" s="93" t="s">
        <v>245</v>
      </c>
      <c r="C13" s="226">
        <v>110892662.83523275</v>
      </c>
      <c r="D13" s="224"/>
      <c r="E13" s="226">
        <v>110892662.83523275</v>
      </c>
      <c r="G13" s="226">
        <v>47186981.01056826</v>
      </c>
      <c r="H13" s="224" t="s">
        <v>0</v>
      </c>
      <c r="I13" s="226">
        <v>47186981.01056826</v>
      </c>
    </row>
    <row r="14" spans="1:9" s="93" customFormat="1" ht="12.75">
      <c r="A14" s="94">
        <v>3</v>
      </c>
      <c r="B14" s="93" t="s">
        <v>246</v>
      </c>
      <c r="C14" s="224">
        <f>SUM(C12:C13)</f>
        <v>3409448683.8352327</v>
      </c>
      <c r="D14" s="224"/>
      <c r="E14" s="224">
        <f>SUM(E12:E13)</f>
        <v>3364439455.005706</v>
      </c>
      <c r="G14" s="224">
        <f>SUM(G12:G13)</f>
        <v>1396438520.0105681</v>
      </c>
      <c r="H14" s="224"/>
      <c r="I14" s="224">
        <f>SUM(I12:I13)</f>
        <v>1406901497.9660273</v>
      </c>
    </row>
    <row r="15" s="93" customFormat="1" ht="12.75">
      <c r="A15" s="94"/>
    </row>
    <row r="16" spans="1:9" s="93" customFormat="1" ht="12.75">
      <c r="A16" s="94">
        <v>4</v>
      </c>
      <c r="B16" s="93" t="s">
        <v>247</v>
      </c>
      <c r="C16" s="227">
        <v>0.0374</v>
      </c>
      <c r="E16" s="227">
        <v>0.0388</v>
      </c>
      <c r="G16" s="227">
        <v>0.0374</v>
      </c>
      <c r="I16" s="227">
        <v>0.0388</v>
      </c>
    </row>
    <row r="17" spans="1:9" s="93" customFormat="1" ht="12.75">
      <c r="A17" s="94"/>
      <c r="C17" s="227"/>
      <c r="E17" s="227"/>
      <c r="G17" s="227"/>
      <c r="I17" s="227"/>
    </row>
    <row r="18" spans="1:9" s="93" customFormat="1" ht="12.75">
      <c r="A18" s="94">
        <v>5</v>
      </c>
      <c r="B18" s="93" t="s">
        <v>251</v>
      </c>
      <c r="C18" s="228">
        <f>+C16*C14</f>
        <v>127513380.77543771</v>
      </c>
      <c r="E18" s="228">
        <f>+E16*E14</f>
        <v>130540250.85422139</v>
      </c>
      <c r="G18" s="228">
        <f>+G16*G14</f>
        <v>52226800.648395255</v>
      </c>
      <c r="I18" s="228">
        <f>+I16*I14</f>
        <v>54587778.12108186</v>
      </c>
    </row>
    <row r="19" spans="1:9" s="93" customFormat="1" ht="12.75">
      <c r="A19" s="94"/>
      <c r="C19" s="228"/>
      <c r="E19" s="228"/>
      <c r="G19" s="228"/>
      <c r="I19" s="228"/>
    </row>
    <row r="20" spans="1:9" s="93" customFormat="1" ht="12.75">
      <c r="A20" s="94">
        <v>6</v>
      </c>
      <c r="B20" s="93" t="s">
        <v>248</v>
      </c>
      <c r="C20" s="226">
        <v>135876145.15</v>
      </c>
      <c r="E20" s="226">
        <v>135876145.15</v>
      </c>
      <c r="G20" s="226">
        <v>72813898.35000001</v>
      </c>
      <c r="I20" s="226">
        <v>72813898.35000001</v>
      </c>
    </row>
    <row r="21" spans="1:9" s="93" customFormat="1" ht="12.75">
      <c r="A21" s="94"/>
      <c r="C21" s="229"/>
      <c r="E21" s="229"/>
      <c r="G21" s="229"/>
      <c r="I21" s="229"/>
    </row>
    <row r="22" spans="1:9" s="93" customFormat="1" ht="12.75">
      <c r="A22" s="94">
        <v>7</v>
      </c>
      <c r="B22" s="93" t="s">
        <v>252</v>
      </c>
      <c r="C22" s="225">
        <f>+C20-C18</f>
        <v>8362764.374562293</v>
      </c>
      <c r="D22" s="225"/>
      <c r="E22" s="225">
        <f>+E20-E18</f>
        <v>5335894.295778617</v>
      </c>
      <c r="F22" s="225"/>
      <c r="G22" s="225">
        <f>+G20-G18</f>
        <v>20587097.701604754</v>
      </c>
      <c r="H22" s="225"/>
      <c r="I22" s="225">
        <f>+I20-I18</f>
        <v>18226120.22891815</v>
      </c>
    </row>
    <row r="23" spans="1:2" s="93" customFormat="1" ht="12.75">
      <c r="A23" s="94"/>
      <c r="B23" s="93" t="s">
        <v>0</v>
      </c>
    </row>
    <row r="24" spans="1:9" s="93" customFormat="1" ht="12.75">
      <c r="A24" s="94">
        <v>8</v>
      </c>
      <c r="B24" s="93" t="s">
        <v>67</v>
      </c>
      <c r="C24" s="230">
        <v>0.35</v>
      </c>
      <c r="E24" s="190">
        <v>0.3067</v>
      </c>
      <c r="G24" s="230">
        <v>0.35</v>
      </c>
      <c r="I24" s="190">
        <v>0.3067</v>
      </c>
    </row>
    <row r="25" s="93" customFormat="1" ht="12.75">
      <c r="A25" s="94"/>
    </row>
    <row r="26" spans="1:9" s="93" customFormat="1" ht="12.75">
      <c r="A26" s="94">
        <v>9</v>
      </c>
      <c r="B26" s="93" t="s">
        <v>253</v>
      </c>
      <c r="C26" s="225">
        <f>+C24*C22</f>
        <v>2926967.5310968026</v>
      </c>
      <c r="D26" s="225"/>
      <c r="E26" s="225">
        <f>+E24*E22</f>
        <v>1636518.7805153017</v>
      </c>
      <c r="G26" s="225">
        <f>+G24*G22</f>
        <v>7205484.195561663</v>
      </c>
      <c r="H26" s="225"/>
      <c r="I26" s="225">
        <f>+I24*I22</f>
        <v>5589951.0742091965</v>
      </c>
    </row>
    <row r="27" s="93" customFormat="1" ht="12.75">
      <c r="A27" s="94"/>
    </row>
    <row r="28" spans="1:9" s="93" customFormat="1" ht="12.75">
      <c r="A28" s="94">
        <v>10</v>
      </c>
      <c r="B28" s="93" t="s">
        <v>249</v>
      </c>
      <c r="E28" s="212">
        <f>+E26-C26</f>
        <v>-1290448.7505815008</v>
      </c>
      <c r="I28" s="212">
        <f>+I26-G26</f>
        <v>-1615533.1213524668</v>
      </c>
    </row>
    <row r="30" s="93" customFormat="1" ht="12.75">
      <c r="A30" s="94"/>
    </row>
    <row r="31" s="93" customFormat="1" ht="12.75">
      <c r="A31" s="94"/>
    </row>
    <row r="32" spans="1:2" s="93" customFormat="1" ht="12.75">
      <c r="A32" s="234" t="s">
        <v>72</v>
      </c>
      <c r="B32" s="234"/>
    </row>
    <row r="33" spans="1:2" s="93" customFormat="1" ht="12.75">
      <c r="A33" s="234" t="s">
        <v>66</v>
      </c>
      <c r="B33" s="234" t="s">
        <v>255</v>
      </c>
    </row>
    <row r="34" spans="1:2" s="93" customFormat="1" ht="12.75">
      <c r="A34" s="234"/>
      <c r="B34" s="234"/>
    </row>
    <row r="35" spans="1:2" s="93" customFormat="1" ht="12.75">
      <c r="A35" s="234"/>
      <c r="B35" s="234"/>
    </row>
    <row r="36" spans="1:2" s="93" customFormat="1" ht="12.75">
      <c r="A36" s="234"/>
      <c r="B36" s="234"/>
    </row>
  </sheetData>
  <sheetProtection/>
  <mergeCells count="6">
    <mergeCell ref="C9:E9"/>
    <mergeCell ref="G9:I9"/>
    <mergeCell ref="A1:I1"/>
    <mergeCell ref="A2:I2"/>
    <mergeCell ref="A4:I4"/>
    <mergeCell ref="A6:I6"/>
  </mergeCells>
  <printOptions horizontalCentered="1"/>
  <pageMargins left="0.75" right="0.49" top="1" bottom="1" header="0.5" footer="0.5"/>
  <pageSetup fitToHeight="1" fitToWidth="1" horizontalDpi="600" verticalDpi="600" orientation="portrait" scale="93" r:id="rId1"/>
  <headerFooter alignWithMargins="0">
    <oddHeader>&amp;C&amp;"Times,Regular"&amp;10Schedule 4 (E &amp;&amp; G)
Page 16 of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4"/>
  <sheetViews>
    <sheetView view="pageLayout" workbookViewId="0" topLeftCell="H1">
      <selection activeCell="N1" sqref="N1"/>
    </sheetView>
  </sheetViews>
  <sheetFormatPr defaultColWidth="16.66015625" defaultRowHeight="15" customHeight="1"/>
  <cols>
    <col min="1" max="1" width="7.83203125" style="2" customWidth="1"/>
    <col min="2" max="2" width="42" style="2" bestFit="1" customWidth="1"/>
    <col min="3" max="3" width="17.33203125" style="2" customWidth="1"/>
    <col min="4" max="4" width="5" style="193" customWidth="1"/>
    <col min="5" max="5" width="13.5" style="14" bestFit="1" customWidth="1"/>
    <col min="6" max="6" width="18" style="2" bestFit="1" customWidth="1"/>
    <col min="7" max="7" width="18.66015625" style="2" customWidth="1"/>
    <col min="8" max="8" width="16.83203125" style="2" bestFit="1" customWidth="1"/>
    <col min="9" max="12" width="16.83203125" style="2" customWidth="1"/>
    <col min="13" max="13" width="16.33203125" style="2" bestFit="1" customWidth="1"/>
    <col min="14" max="14" width="18" style="2" bestFit="1" customWidth="1"/>
    <col min="15" max="16" width="14.83203125" style="2" bestFit="1" customWidth="1"/>
    <col min="17" max="17" width="16.33203125" style="2" bestFit="1" customWidth="1"/>
    <col min="18" max="18" width="14" style="2" bestFit="1" customWidth="1"/>
    <col min="19" max="19" width="12.5" style="2" bestFit="1" customWidth="1"/>
    <col min="20" max="20" width="13.16015625" style="2" bestFit="1" customWidth="1"/>
    <col min="21" max="21" width="12.5" style="2" bestFit="1" customWidth="1"/>
    <col min="22" max="22" width="13.33203125" style="2" customWidth="1"/>
    <col min="23" max="23" width="1.5" style="193" customWidth="1"/>
    <col min="24" max="24" width="18.66015625" style="2" bestFit="1" customWidth="1"/>
    <col min="25" max="25" width="2" style="193" customWidth="1"/>
    <col min="26" max="26" width="17.66015625" style="2" customWidth="1"/>
    <col min="27" max="16384" width="16.66015625" style="2" customWidth="1"/>
  </cols>
  <sheetData>
    <row r="1" spans="1:26" s="1" customFormat="1" ht="15" customHeight="1">
      <c r="A1" s="4" t="s">
        <v>1</v>
      </c>
      <c r="B1" s="5"/>
      <c r="C1" s="5"/>
      <c r="D1" s="264"/>
      <c r="E1" s="26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64"/>
      <c r="X1" s="5"/>
      <c r="Y1" s="264"/>
      <c r="Z1" s="5"/>
    </row>
    <row r="2" spans="1:26" s="1" customFormat="1" ht="15" customHeight="1">
      <c r="A2" s="4" t="s">
        <v>7</v>
      </c>
      <c r="B2" s="5"/>
      <c r="C2" s="5"/>
      <c r="D2" s="264"/>
      <c r="E2" s="26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64"/>
      <c r="X2" s="5"/>
      <c r="Y2" s="264"/>
      <c r="Z2" s="5"/>
    </row>
    <row r="3" spans="1:26" s="1" customFormat="1" ht="15" customHeight="1">
      <c r="A3" s="266" t="s">
        <v>6</v>
      </c>
      <c r="B3" s="5"/>
      <c r="C3" s="5"/>
      <c r="D3" s="264"/>
      <c r="E3" s="26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64"/>
      <c r="X3" s="5"/>
      <c r="Y3" s="264"/>
      <c r="Z3" s="5"/>
    </row>
    <row r="4" spans="1:26" s="1" customFormat="1" ht="15" customHeight="1">
      <c r="A4" s="5" t="s">
        <v>8</v>
      </c>
      <c r="B4" s="5"/>
      <c r="C4" s="5"/>
      <c r="D4" s="264"/>
      <c r="E4" s="26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64"/>
      <c r="X4" s="5"/>
      <c r="Y4" s="264"/>
      <c r="Z4" s="5"/>
    </row>
    <row r="5" spans="1:26" s="1" customFormat="1" ht="15" customHeight="1">
      <c r="A5" s="5" t="s">
        <v>293</v>
      </c>
      <c r="B5" s="5"/>
      <c r="C5" s="5"/>
      <c r="D5" s="264"/>
      <c r="E5" s="26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64"/>
      <c r="X5" s="5"/>
      <c r="Y5" s="264"/>
      <c r="Z5" s="5"/>
    </row>
    <row r="7" spans="3:26" ht="15" customHeight="1">
      <c r="C7" s="15" t="s">
        <v>119</v>
      </c>
      <c r="E7" s="296" t="s">
        <v>294</v>
      </c>
      <c r="F7" s="296"/>
      <c r="G7" s="296"/>
      <c r="H7" s="296"/>
      <c r="I7" s="296"/>
      <c r="J7" s="296"/>
      <c r="K7" s="296"/>
      <c r="L7" s="296"/>
      <c r="M7" s="296"/>
      <c r="N7" s="296"/>
      <c r="O7" s="296" t="s">
        <v>294</v>
      </c>
      <c r="P7" s="296"/>
      <c r="Q7" s="296"/>
      <c r="R7" s="296"/>
      <c r="S7" s="296"/>
      <c r="T7" s="296"/>
      <c r="U7" s="296"/>
      <c r="V7" s="296"/>
      <c r="X7" s="15"/>
      <c r="Z7" s="15"/>
    </row>
    <row r="8" spans="3:26" ht="15" customHeight="1">
      <c r="C8" s="7" t="s">
        <v>15</v>
      </c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X8" s="7"/>
      <c r="Z8" s="7" t="s">
        <v>239</v>
      </c>
    </row>
    <row r="9" spans="3:26" ht="15" customHeight="1">
      <c r="C9" s="7" t="s">
        <v>10</v>
      </c>
      <c r="E9" s="15" t="s">
        <v>207</v>
      </c>
      <c r="G9" s="7"/>
      <c r="H9" s="7" t="s">
        <v>117</v>
      </c>
      <c r="I9" s="7"/>
      <c r="J9" s="7"/>
      <c r="K9" s="7" t="s">
        <v>209</v>
      </c>
      <c r="L9" s="7" t="s">
        <v>214</v>
      </c>
      <c r="M9" s="7"/>
      <c r="N9" s="7"/>
      <c r="O9" s="7"/>
      <c r="P9" s="7"/>
      <c r="Q9" s="7"/>
      <c r="R9" s="7"/>
      <c r="S9" s="7"/>
      <c r="T9" s="7"/>
      <c r="U9" s="7"/>
      <c r="V9" s="7"/>
      <c r="X9" s="7" t="s">
        <v>13</v>
      </c>
      <c r="Z9" s="7" t="s">
        <v>10</v>
      </c>
    </row>
    <row r="10" spans="1:26" ht="15" customHeight="1">
      <c r="A10" s="7" t="s">
        <v>9</v>
      </c>
      <c r="C10" s="7" t="s">
        <v>21</v>
      </c>
      <c r="E10" s="15" t="s">
        <v>206</v>
      </c>
      <c r="F10" s="7" t="s">
        <v>118</v>
      </c>
      <c r="G10" s="7" t="s">
        <v>118</v>
      </c>
      <c r="H10" s="15" t="s">
        <v>116</v>
      </c>
      <c r="I10" s="15" t="s">
        <v>220</v>
      </c>
      <c r="J10" s="15" t="s">
        <v>213</v>
      </c>
      <c r="K10" s="15" t="s">
        <v>210</v>
      </c>
      <c r="L10" s="15" t="s">
        <v>215</v>
      </c>
      <c r="M10" s="7" t="s">
        <v>172</v>
      </c>
      <c r="N10" s="7" t="s">
        <v>203</v>
      </c>
      <c r="O10" s="7"/>
      <c r="P10" s="7" t="s">
        <v>168</v>
      </c>
      <c r="Q10" s="7" t="s">
        <v>146</v>
      </c>
      <c r="R10" s="7"/>
      <c r="S10" s="7" t="s">
        <v>108</v>
      </c>
      <c r="T10" s="7" t="s">
        <v>16</v>
      </c>
      <c r="U10" s="7" t="s">
        <v>103</v>
      </c>
      <c r="V10" s="7" t="s">
        <v>215</v>
      </c>
      <c r="X10" s="7" t="s">
        <v>239</v>
      </c>
      <c r="Z10" s="7" t="s">
        <v>21</v>
      </c>
    </row>
    <row r="11" spans="1:26" ht="15" customHeight="1">
      <c r="A11" s="21" t="s">
        <v>11</v>
      </c>
      <c r="B11" s="11"/>
      <c r="C11" s="21" t="s">
        <v>292</v>
      </c>
      <c r="E11" s="21" t="s">
        <v>208</v>
      </c>
      <c r="F11" s="21" t="s">
        <v>2</v>
      </c>
      <c r="G11" s="21" t="s">
        <v>3</v>
      </c>
      <c r="H11" s="11" t="s">
        <v>17</v>
      </c>
      <c r="I11" s="21" t="s">
        <v>17</v>
      </c>
      <c r="J11" s="21" t="s">
        <v>216</v>
      </c>
      <c r="K11" s="21" t="s">
        <v>211</v>
      </c>
      <c r="L11" s="11" t="s">
        <v>45</v>
      </c>
      <c r="M11" s="21" t="s">
        <v>17</v>
      </c>
      <c r="N11" s="21" t="s">
        <v>204</v>
      </c>
      <c r="O11" s="21" t="s">
        <v>127</v>
      </c>
      <c r="P11" s="21" t="s">
        <v>169</v>
      </c>
      <c r="Q11" s="21" t="s">
        <v>147</v>
      </c>
      <c r="R11" s="21" t="s">
        <v>96</v>
      </c>
      <c r="S11" s="21" t="s">
        <v>109</v>
      </c>
      <c r="T11" s="21" t="s">
        <v>19</v>
      </c>
      <c r="U11" s="21" t="s">
        <v>104</v>
      </c>
      <c r="V11" s="21" t="s">
        <v>217</v>
      </c>
      <c r="X11" s="21" t="s">
        <v>20</v>
      </c>
      <c r="Z11" s="21" t="s">
        <v>23</v>
      </c>
    </row>
    <row r="12" spans="4:26" s="7" customFormat="1" ht="15" customHeight="1">
      <c r="D12" s="194"/>
      <c r="E12" s="191">
        <v>1</v>
      </c>
      <c r="F12" s="192">
        <v>2</v>
      </c>
      <c r="G12" s="192">
        <v>3</v>
      </c>
      <c r="H12" s="192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194"/>
      <c r="X12" s="7">
        <v>19</v>
      </c>
      <c r="Y12" s="194"/>
      <c r="Z12" s="7">
        <v>20</v>
      </c>
    </row>
    <row r="13" spans="1:2" ht="15" customHeight="1">
      <c r="A13" s="7">
        <v>1</v>
      </c>
      <c r="B13" s="13" t="s">
        <v>24</v>
      </c>
    </row>
    <row r="14" spans="1:26" ht="15" customHeight="1">
      <c r="A14" s="7">
        <f aca="true" t="shared" si="0" ref="A14:A58">A13+1</f>
        <v>2</v>
      </c>
      <c r="B14" s="12" t="s">
        <v>26</v>
      </c>
      <c r="C14" s="18">
        <v>1836147968.6647391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X14" s="18">
        <f>SUM(E14:V14)</f>
        <v>0</v>
      </c>
      <c r="Z14" s="18">
        <f>+X14+C14</f>
        <v>1836147968.6647391</v>
      </c>
    </row>
    <row r="15" spans="1:26" ht="15" customHeight="1">
      <c r="A15" s="7">
        <f t="shared" si="0"/>
        <v>3</v>
      </c>
      <c r="B15" s="12" t="s">
        <v>27</v>
      </c>
      <c r="C15" s="31">
        <v>355747.15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X15" s="31">
        <f>SUM(E15:V15)</f>
        <v>0</v>
      </c>
      <c r="Z15" s="31">
        <f>+X15+C15</f>
        <v>355747.15</v>
      </c>
    </row>
    <row r="16" spans="1:26" ht="15" customHeight="1">
      <c r="A16" s="7">
        <f t="shared" si="0"/>
        <v>4</v>
      </c>
      <c r="B16" s="12" t="s">
        <v>29</v>
      </c>
      <c r="C16" s="31">
        <v>14704466.470082223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X16" s="31">
        <f>SUM(E16:V16)</f>
        <v>0</v>
      </c>
      <c r="Z16" s="31">
        <f>+X16+C16</f>
        <v>14704466.470082223</v>
      </c>
    </row>
    <row r="17" spans="1:26" ht="15" customHeight="1">
      <c r="A17" s="7">
        <f t="shared" si="0"/>
        <v>5</v>
      </c>
      <c r="B17" s="12" t="s">
        <v>30</v>
      </c>
      <c r="C17" s="33">
        <v>38147751.709399074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X17" s="33">
        <f>SUM(E17:V17)</f>
        <v>0</v>
      </c>
      <c r="Z17" s="33">
        <f>+X17+C17</f>
        <v>38147751.709399074</v>
      </c>
    </row>
    <row r="18" spans="1:26" ht="15" customHeight="1">
      <c r="A18" s="7">
        <f t="shared" si="0"/>
        <v>6</v>
      </c>
      <c r="B18" s="12" t="s">
        <v>28</v>
      </c>
      <c r="C18" s="195">
        <f>SUM(C14:C17)</f>
        <v>1889355933.9942205</v>
      </c>
      <c r="E18" s="196">
        <f aca="true" t="shared" si="1" ref="E18:L18">SUM(E14:E17)</f>
        <v>0</v>
      </c>
      <c r="F18" s="196">
        <f t="shared" si="1"/>
        <v>0</v>
      </c>
      <c r="G18" s="196">
        <f t="shared" si="1"/>
        <v>0</v>
      </c>
      <c r="H18" s="196">
        <f t="shared" si="1"/>
        <v>0</v>
      </c>
      <c r="I18" s="196">
        <f t="shared" si="1"/>
        <v>0</v>
      </c>
      <c r="J18" s="196">
        <f t="shared" si="1"/>
        <v>0</v>
      </c>
      <c r="K18" s="196">
        <f t="shared" si="1"/>
        <v>0</v>
      </c>
      <c r="L18" s="196">
        <f t="shared" si="1"/>
        <v>0</v>
      </c>
      <c r="M18" s="196">
        <f aca="true" t="shared" si="2" ref="M18:Z18">SUM(M14:M17)</f>
        <v>0</v>
      </c>
      <c r="N18" s="196">
        <f t="shared" si="2"/>
        <v>0</v>
      </c>
      <c r="O18" s="196">
        <f t="shared" si="2"/>
        <v>0</v>
      </c>
      <c r="P18" s="196">
        <f t="shared" si="2"/>
        <v>0</v>
      </c>
      <c r="Q18" s="196">
        <f t="shared" si="2"/>
        <v>0</v>
      </c>
      <c r="R18" s="196">
        <f t="shared" si="2"/>
        <v>0</v>
      </c>
      <c r="S18" s="196">
        <f t="shared" si="2"/>
        <v>0</v>
      </c>
      <c r="T18" s="196">
        <f t="shared" si="2"/>
        <v>0</v>
      </c>
      <c r="U18" s="196">
        <f t="shared" si="2"/>
        <v>0</v>
      </c>
      <c r="V18" s="196">
        <f t="shared" si="2"/>
        <v>0</v>
      </c>
      <c r="X18" s="196">
        <f t="shared" si="2"/>
        <v>0</v>
      </c>
      <c r="Z18" s="196">
        <f t="shared" si="2"/>
        <v>1889355933.9942205</v>
      </c>
    </row>
    <row r="19" spans="1:26" ht="15" customHeight="1">
      <c r="A19" s="7">
        <f t="shared" si="0"/>
        <v>7</v>
      </c>
      <c r="C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X19" s="35"/>
      <c r="Z19" s="35"/>
    </row>
    <row r="20" spans="1:26" ht="15" customHeight="1">
      <c r="A20" s="7">
        <f t="shared" si="0"/>
        <v>8</v>
      </c>
      <c r="B20" s="20" t="s">
        <v>33</v>
      </c>
      <c r="C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X20" s="35"/>
      <c r="Z20" s="35"/>
    </row>
    <row r="21" spans="1:26" ht="15" customHeight="1">
      <c r="A21" s="7">
        <f t="shared" si="0"/>
        <v>9</v>
      </c>
      <c r="C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X21" s="35"/>
      <c r="Z21" s="35"/>
    </row>
    <row r="22" spans="1:26" ht="15" customHeight="1">
      <c r="A22" s="7">
        <f t="shared" si="0"/>
        <v>10</v>
      </c>
      <c r="B22" s="13" t="s">
        <v>34</v>
      </c>
      <c r="C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X22" s="31"/>
      <c r="Z22" s="31"/>
    </row>
    <row r="23" spans="1:26" ht="15" customHeight="1">
      <c r="A23" s="7">
        <f t="shared" si="0"/>
        <v>11</v>
      </c>
      <c r="B23" s="12" t="s">
        <v>31</v>
      </c>
      <c r="C23" s="18">
        <v>180118092.992603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X23" s="18">
        <f>SUM(E23:V23)</f>
        <v>0</v>
      </c>
      <c r="Z23" s="18">
        <f>+X23+C23</f>
        <v>180118092.992603</v>
      </c>
    </row>
    <row r="24" spans="1:26" ht="15" customHeight="1">
      <c r="A24" s="7">
        <f t="shared" si="0"/>
        <v>12</v>
      </c>
      <c r="B24" s="12" t="s">
        <v>32</v>
      </c>
      <c r="C24" s="31">
        <v>774709538.6328464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f>-'Incentive pay'!E13</f>
        <v>-224553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X24" s="31">
        <f>SUM(E24:V24)</f>
        <v>-224553</v>
      </c>
      <c r="Z24" s="31">
        <f>+X24+C24</f>
        <v>774484985.6328464</v>
      </c>
    </row>
    <row r="25" spans="1:26" ht="15" customHeight="1">
      <c r="A25" s="7">
        <f t="shared" si="0"/>
        <v>13</v>
      </c>
      <c r="B25" s="12" t="s">
        <v>35</v>
      </c>
      <c r="C25" s="31">
        <v>69624049.73222215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X25" s="31">
        <f>SUM(E25:V25)</f>
        <v>0</v>
      </c>
      <c r="Z25" s="31">
        <f>+X25+C25</f>
        <v>69624049.73222215</v>
      </c>
    </row>
    <row r="26" spans="1:26" ht="15" customHeight="1">
      <c r="A26" s="7">
        <f t="shared" si="0"/>
        <v>14</v>
      </c>
      <c r="B26" s="2" t="s">
        <v>37</v>
      </c>
      <c r="C26" s="33">
        <v>-0.23000000417232513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X26" s="33">
        <f>SUM(E26:V26)</f>
        <v>0</v>
      </c>
      <c r="Z26" s="33">
        <f>+X26+C26</f>
        <v>-0.23000000417232513</v>
      </c>
    </row>
    <row r="27" spans="1:26" ht="15" customHeight="1">
      <c r="A27" s="7">
        <f t="shared" si="0"/>
        <v>15</v>
      </c>
      <c r="B27" s="12" t="s">
        <v>36</v>
      </c>
      <c r="C27" s="195">
        <f>SUM(C23:C26)</f>
        <v>1024451681.1276716</v>
      </c>
      <c r="E27" s="196">
        <f aca="true" t="shared" si="3" ref="E27:L27">SUM(E23:E26)</f>
        <v>0</v>
      </c>
      <c r="F27" s="196">
        <f t="shared" si="3"/>
        <v>0</v>
      </c>
      <c r="G27" s="196">
        <f t="shared" si="3"/>
        <v>0</v>
      </c>
      <c r="H27" s="196">
        <f t="shared" si="3"/>
        <v>0</v>
      </c>
      <c r="I27" s="196">
        <f t="shared" si="3"/>
        <v>0</v>
      </c>
      <c r="J27" s="196">
        <f t="shared" si="3"/>
        <v>0</v>
      </c>
      <c r="K27" s="196">
        <f t="shared" si="3"/>
        <v>0</v>
      </c>
      <c r="L27" s="196">
        <f t="shared" si="3"/>
        <v>0</v>
      </c>
      <c r="M27" s="196">
        <f aca="true" t="shared" si="4" ref="M27:Z27">SUM(M23:M26)</f>
        <v>0</v>
      </c>
      <c r="N27" s="196">
        <f t="shared" si="4"/>
        <v>0</v>
      </c>
      <c r="O27" s="196">
        <f t="shared" si="4"/>
        <v>0</v>
      </c>
      <c r="P27" s="196">
        <f t="shared" si="4"/>
        <v>-224553</v>
      </c>
      <c r="Q27" s="196">
        <f t="shared" si="4"/>
        <v>0</v>
      </c>
      <c r="R27" s="196">
        <f t="shared" si="4"/>
        <v>0</v>
      </c>
      <c r="S27" s="196">
        <f t="shared" si="4"/>
        <v>0</v>
      </c>
      <c r="T27" s="196">
        <f t="shared" si="4"/>
        <v>0</v>
      </c>
      <c r="U27" s="196">
        <f t="shared" si="4"/>
        <v>0</v>
      </c>
      <c r="V27" s="196">
        <f t="shared" si="4"/>
        <v>0</v>
      </c>
      <c r="X27" s="196">
        <f t="shared" si="4"/>
        <v>-224553</v>
      </c>
      <c r="Z27" s="196">
        <f t="shared" si="4"/>
        <v>1024227128.1276716</v>
      </c>
    </row>
    <row r="28" spans="1:26" ht="15" customHeight="1">
      <c r="A28" s="7">
        <f t="shared" si="0"/>
        <v>16</v>
      </c>
      <c r="B28" s="12"/>
      <c r="C28" s="35"/>
      <c r="E28" s="35"/>
      <c r="F28" s="35"/>
      <c r="G28" s="10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X28" s="35"/>
      <c r="Z28" s="35"/>
    </row>
    <row r="29" spans="1:26" ht="15" customHeight="1">
      <c r="A29" s="7">
        <f t="shared" si="0"/>
        <v>17</v>
      </c>
      <c r="B29" s="20" t="s">
        <v>38</v>
      </c>
      <c r="C29" s="18">
        <v>96183223.35610138</v>
      </c>
      <c r="E29" s="18">
        <v>0</v>
      </c>
      <c r="F29" s="18">
        <v>0</v>
      </c>
      <c r="G29" s="104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f>-'Incentive pay'!E15</f>
        <v>-793133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X29" s="18">
        <f aca="true" t="shared" si="5" ref="X29:X43">SUM(E29:V29)</f>
        <v>-793133</v>
      </c>
      <c r="Z29" s="18">
        <f aca="true" t="shared" si="6" ref="Z29:Z43">+X29+C29</f>
        <v>95390090.35610138</v>
      </c>
    </row>
    <row r="30" spans="1:26" ht="15" customHeight="1">
      <c r="A30" s="7">
        <f t="shared" si="0"/>
        <v>18</v>
      </c>
      <c r="B30" s="12" t="s">
        <v>39</v>
      </c>
      <c r="C30" s="31">
        <v>10267648.17144</v>
      </c>
      <c r="E30" s="31">
        <v>0</v>
      </c>
      <c r="F30" s="31">
        <v>0</v>
      </c>
      <c r="G30" s="103">
        <v>0</v>
      </c>
      <c r="H30" s="31">
        <v>0</v>
      </c>
      <c r="I30" s="31">
        <v>0</v>
      </c>
      <c r="J30" s="31">
        <v>301025.04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f>-'Incentive pay'!E18</f>
        <v>-44491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X30" s="31">
        <f t="shared" si="5"/>
        <v>256534.03999999998</v>
      </c>
      <c r="Z30" s="31">
        <f t="shared" si="6"/>
        <v>10524182.211439999</v>
      </c>
    </row>
    <row r="31" spans="1:26" ht="15" customHeight="1">
      <c r="A31" s="7">
        <f t="shared" si="0"/>
        <v>19</v>
      </c>
      <c r="B31" s="12" t="s">
        <v>40</v>
      </c>
      <c r="C31" s="31">
        <v>67664295.93186668</v>
      </c>
      <c r="E31" s="31">
        <v>0</v>
      </c>
      <c r="F31" s="31">
        <v>0</v>
      </c>
      <c r="G31" s="103">
        <v>0</v>
      </c>
      <c r="H31" s="31">
        <v>0</v>
      </c>
      <c r="I31" s="31">
        <v>0</v>
      </c>
      <c r="J31" s="31">
        <v>2707978.10333333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f>-'Incentive pay'!E19</f>
        <v>-1531127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X31" s="31">
        <f t="shared" si="5"/>
        <v>1176851.1033333298</v>
      </c>
      <c r="Z31" s="31">
        <f t="shared" si="6"/>
        <v>68841147.0352</v>
      </c>
    </row>
    <row r="32" spans="1:26" ht="15" customHeight="1">
      <c r="A32" s="7">
        <f t="shared" si="0"/>
        <v>20</v>
      </c>
      <c r="B32" s="12" t="s">
        <v>41</v>
      </c>
      <c r="C32" s="31">
        <v>39393837.90215796</v>
      </c>
      <c r="E32" s="31">
        <v>0</v>
      </c>
      <c r="F32" s="31">
        <v>0</v>
      </c>
      <c r="G32" s="103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f>-'Incentive pay'!E20</f>
        <v>-815528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X32" s="31">
        <f t="shared" si="5"/>
        <v>-815528</v>
      </c>
      <c r="Z32" s="31">
        <f t="shared" si="6"/>
        <v>38578309.90215796</v>
      </c>
    </row>
    <row r="33" spans="1:26" ht="15" customHeight="1">
      <c r="A33" s="7">
        <f t="shared" si="0"/>
        <v>21</v>
      </c>
      <c r="B33" s="12" t="s">
        <v>42</v>
      </c>
      <c r="C33" s="31">
        <v>2028305.9822449991</v>
      </c>
      <c r="E33" s="31">
        <v>0</v>
      </c>
      <c r="F33" s="31">
        <v>0</v>
      </c>
      <c r="G33" s="103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-'Incentive pay'!E21-'Incentive pay'!E22</f>
        <v>-131122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X33" s="31">
        <f t="shared" si="5"/>
        <v>-131122</v>
      </c>
      <c r="Z33" s="31">
        <f t="shared" si="6"/>
        <v>1897183.9822449991</v>
      </c>
    </row>
    <row r="34" spans="1:26" ht="15" customHeight="1">
      <c r="A34" s="7">
        <f t="shared" si="0"/>
        <v>22</v>
      </c>
      <c r="B34" s="12" t="s">
        <v>43</v>
      </c>
      <c r="C34" s="38">
        <v>5110.879999998957</v>
      </c>
      <c r="E34" s="38">
        <v>0</v>
      </c>
      <c r="F34" s="38">
        <v>0</v>
      </c>
      <c r="G34" s="103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X34" s="38">
        <f t="shared" si="5"/>
        <v>0</v>
      </c>
      <c r="Z34" s="38">
        <f t="shared" si="6"/>
        <v>5110.879999998957</v>
      </c>
    </row>
    <row r="35" spans="1:26" ht="15" customHeight="1">
      <c r="A35" s="7">
        <f t="shared" si="0"/>
        <v>23</v>
      </c>
      <c r="B35" s="12" t="s">
        <v>44</v>
      </c>
      <c r="C35" s="31">
        <v>81720274.50669056</v>
      </c>
      <c r="E35" s="38">
        <v>0</v>
      </c>
      <c r="F35" s="31">
        <v>-69049</v>
      </c>
      <c r="G35" s="103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f>+'Exec Comp'!I26</f>
        <v>-763108.6573814</v>
      </c>
      <c r="O35" s="31">
        <f>+SERP!F16</f>
        <v>-2236061.0599486446</v>
      </c>
      <c r="P35" s="31">
        <f>-'Incentive pay'!E23</f>
        <v>-1458992</v>
      </c>
      <c r="Q35" s="31">
        <f>+Shareholder!G25</f>
        <v>-1439115.2433949998</v>
      </c>
      <c r="R35" s="31">
        <f>-Aircraft!F14</f>
        <v>-307848.73449999996</v>
      </c>
      <c r="S35" s="31">
        <f>+'Athletic Events'!F16</f>
        <v>-11628.6235</v>
      </c>
      <c r="T35" s="31">
        <f>+'D&amp;O'!F18</f>
        <v>-65799.25610983395</v>
      </c>
      <c r="U35" s="31">
        <f>+'Airport Parking'!F16</f>
        <v>-14033.9615</v>
      </c>
      <c r="V35" s="31">
        <f>+'Airport Parking'!G16</f>
        <v>0</v>
      </c>
      <c r="X35" s="31">
        <f t="shared" si="5"/>
        <v>-6365636.536334878</v>
      </c>
      <c r="Z35" s="31">
        <f t="shared" si="6"/>
        <v>75354637.97035569</v>
      </c>
    </row>
    <row r="36" spans="1:26" ht="15" customHeight="1">
      <c r="A36" s="7">
        <f t="shared" si="0"/>
        <v>24</v>
      </c>
      <c r="B36" s="12" t="s">
        <v>17</v>
      </c>
      <c r="C36" s="31">
        <v>174273809.6327226</v>
      </c>
      <c r="E36" s="38">
        <v>0</v>
      </c>
      <c r="F36" s="31">
        <v>-1771083.37367237</v>
      </c>
      <c r="G36" s="103">
        <v>-600667</v>
      </c>
      <c r="H36" s="31">
        <f>+'Hopkins Ridge'!G14</f>
        <v>-31776.683843548875</v>
      </c>
      <c r="I36" s="31">
        <f>+'Wild Horse'!G16</f>
        <v>-347007.8026369158</v>
      </c>
      <c r="J36" s="31">
        <v>0</v>
      </c>
      <c r="K36" s="31">
        <v>0</v>
      </c>
      <c r="L36" s="31">
        <v>0</v>
      </c>
      <c r="M36" s="31">
        <f>+'King Deprec'!G17</f>
        <v>-21853830.47</v>
      </c>
      <c r="N36" s="31">
        <v>0</v>
      </c>
      <c r="O36" s="31">
        <v>0</v>
      </c>
      <c r="P36" s="31">
        <v>0</v>
      </c>
      <c r="Q36" s="31">
        <v>0</v>
      </c>
      <c r="R36" s="31">
        <f>-Aircraft!F16</f>
        <v>-33214.773</v>
      </c>
      <c r="S36" s="31">
        <v>0</v>
      </c>
      <c r="T36" s="31">
        <v>0</v>
      </c>
      <c r="U36" s="31">
        <v>0</v>
      </c>
      <c r="V36" s="31">
        <v>0</v>
      </c>
      <c r="X36" s="31">
        <f t="shared" si="5"/>
        <v>-24637580.10315283</v>
      </c>
      <c r="Z36" s="31">
        <f t="shared" si="6"/>
        <v>149636229.52956975</v>
      </c>
    </row>
    <row r="37" spans="1:26" ht="15" customHeight="1">
      <c r="A37" s="7">
        <f t="shared" si="0"/>
        <v>25</v>
      </c>
      <c r="B37" s="12" t="s">
        <v>45</v>
      </c>
      <c r="C37" s="31">
        <v>32932455.241280325</v>
      </c>
      <c r="E37" s="38">
        <v>0</v>
      </c>
      <c r="F37" s="31">
        <v>0</v>
      </c>
      <c r="G37" s="103">
        <v>-1679273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X37" s="31">
        <f t="shared" si="5"/>
        <v>-1679273</v>
      </c>
      <c r="Z37" s="31">
        <f t="shared" si="6"/>
        <v>31253182.241280325</v>
      </c>
    </row>
    <row r="38" spans="1:26" ht="15" customHeight="1">
      <c r="A38" s="7">
        <f t="shared" si="0"/>
        <v>26</v>
      </c>
      <c r="B38" s="24" t="s">
        <v>46</v>
      </c>
      <c r="C38" s="31">
        <v>24306167.05772382</v>
      </c>
      <c r="E38" s="38">
        <v>0</v>
      </c>
      <c r="F38" s="31">
        <v>0</v>
      </c>
      <c r="G38" s="103">
        <v>0</v>
      </c>
      <c r="H38" s="31">
        <v>0</v>
      </c>
      <c r="I38" s="31">
        <v>0</v>
      </c>
      <c r="J38" s="31">
        <v>-18975558.8541893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X38" s="31">
        <f t="shared" si="5"/>
        <v>-18975558.8541893</v>
      </c>
      <c r="Z38" s="31">
        <f t="shared" si="6"/>
        <v>5330608.203534521</v>
      </c>
    </row>
    <row r="39" spans="1:26" ht="15" customHeight="1">
      <c r="A39" s="7">
        <f t="shared" si="0"/>
        <v>27</v>
      </c>
      <c r="B39" s="12" t="s">
        <v>47</v>
      </c>
      <c r="C39" s="31">
        <v>1410989.656292526</v>
      </c>
      <c r="E39" s="38">
        <v>0</v>
      </c>
      <c r="F39" s="31">
        <v>0</v>
      </c>
      <c r="G39" s="103">
        <v>0</v>
      </c>
      <c r="H39" s="31">
        <v>0</v>
      </c>
      <c r="I39" s="31">
        <v>0</v>
      </c>
      <c r="J39" s="31">
        <v>0</v>
      </c>
      <c r="K39" s="31">
        <v>0</v>
      </c>
      <c r="L39" s="31">
        <f>+'Misc Int.'!D19</f>
        <v>-1062444.9732625177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X39" s="31">
        <f t="shared" si="5"/>
        <v>-1062444.9732625177</v>
      </c>
      <c r="Z39" s="31">
        <f t="shared" si="6"/>
        <v>348544.68303000834</v>
      </c>
    </row>
    <row r="40" spans="1:26" ht="15" customHeight="1">
      <c r="A40" s="7">
        <f t="shared" si="0"/>
        <v>28</v>
      </c>
      <c r="B40" s="2" t="s">
        <v>48</v>
      </c>
      <c r="C40" s="31">
        <v>0</v>
      </c>
      <c r="E40" s="38">
        <v>0</v>
      </c>
      <c r="F40" s="31">
        <v>0</v>
      </c>
      <c r="G40" s="103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X40" s="31">
        <f t="shared" si="5"/>
        <v>0</v>
      </c>
      <c r="Z40" s="31">
        <f t="shared" si="6"/>
        <v>0</v>
      </c>
    </row>
    <row r="41" spans="1:26" ht="15" customHeight="1">
      <c r="A41" s="7">
        <f t="shared" si="0"/>
        <v>29</v>
      </c>
      <c r="B41" s="12" t="s">
        <v>49</v>
      </c>
      <c r="C41" s="31">
        <v>116373961.39519759</v>
      </c>
      <c r="E41" s="38">
        <v>0</v>
      </c>
      <c r="F41" s="31">
        <v>250360</v>
      </c>
      <c r="G41" s="106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-'Incentive pay'!E26</f>
        <v>-361924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X41" s="31">
        <f t="shared" si="5"/>
        <v>-111564</v>
      </c>
      <c r="Z41" s="31">
        <f t="shared" si="6"/>
        <v>116262397.39519759</v>
      </c>
    </row>
    <row r="42" spans="1:26" ht="15" customHeight="1">
      <c r="A42" s="7">
        <f t="shared" si="0"/>
        <v>30</v>
      </c>
      <c r="B42" s="12" t="s">
        <v>50</v>
      </c>
      <c r="C42" s="31">
        <v>-41420840.939839035</v>
      </c>
      <c r="E42" s="31">
        <v>0</v>
      </c>
      <c r="F42" s="31">
        <f>-SUM(F35:F41)*0.3067</f>
        <v>487583.18700531585</v>
      </c>
      <c r="G42" s="31">
        <f>-SUM(G35:G41)*0.3067</f>
        <v>699257.5979999999</v>
      </c>
      <c r="H42" s="31">
        <f>+'Hopkins Ridge'!G20</f>
        <v>9745.90893481644</v>
      </c>
      <c r="I42" s="31">
        <f>+'Wild Horse'!G20</f>
        <v>106427.29306874207</v>
      </c>
      <c r="J42" s="31">
        <f>-SUM(J30:J41)*0.3067</f>
        <v>4896942.636519525</v>
      </c>
      <c r="K42" s="237">
        <f>+FIT!E39</f>
        <v>-829688.0532435235</v>
      </c>
      <c r="L42" s="31">
        <f>+'Misc Int.'!D23</f>
        <v>325851.8732996142</v>
      </c>
      <c r="M42" s="31">
        <f>+'King Deprec'!G21</f>
        <v>6702569.805148999</v>
      </c>
      <c r="N42" s="31">
        <f>+'Exec Comp'!I30</f>
        <v>234045.42521887535</v>
      </c>
      <c r="O42" s="31">
        <f>+SERP!F20</f>
        <v>685799.9270862492</v>
      </c>
      <c r="P42" s="31">
        <f>+'Incentive pay'!E34</f>
        <v>1644178.829</v>
      </c>
      <c r="Q42" s="31">
        <f>+Shareholder!G29</f>
        <v>441376.6451492464</v>
      </c>
      <c r="R42" s="31">
        <f>+Aircraft!F22</f>
        <v>104604.17775024998</v>
      </c>
      <c r="S42" s="31">
        <f>+'Athletic Events'!F20</f>
        <v>3566.4988274499997</v>
      </c>
      <c r="T42" s="31">
        <f>+'D&amp;O'!F22</f>
        <v>20180.63184888607</v>
      </c>
      <c r="U42" s="31">
        <f>+'Airport Parking'!F20</f>
        <v>4304.21599205</v>
      </c>
      <c r="V42" s="31">
        <f>+'Int. Sync'!E28</f>
        <v>-1290448.7505815008</v>
      </c>
      <c r="X42" s="31">
        <f t="shared" si="5"/>
        <v>14246297.849024996</v>
      </c>
      <c r="Z42" s="31">
        <f t="shared" si="6"/>
        <v>-27174543.09081404</v>
      </c>
    </row>
    <row r="43" spans="1:26" ht="15" customHeight="1">
      <c r="A43" s="7">
        <f t="shared" si="0"/>
        <v>31</v>
      </c>
      <c r="B43" s="2" t="s">
        <v>51</v>
      </c>
      <c r="C43" s="31">
        <v>87728156.424</v>
      </c>
      <c r="E43" s="38">
        <v>0</v>
      </c>
      <c r="F43" s="31">
        <v>0</v>
      </c>
      <c r="G43" s="107">
        <v>0</v>
      </c>
      <c r="H43" s="31">
        <v>0</v>
      </c>
      <c r="I43" s="31"/>
      <c r="J43" s="31">
        <v>0</v>
      </c>
      <c r="K43" s="237">
        <f>+FIT!E35</f>
        <v>-41750052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/>
      <c r="S43" s="31">
        <v>0</v>
      </c>
      <c r="T43" s="31">
        <v>0</v>
      </c>
      <c r="U43" s="31">
        <v>0</v>
      </c>
      <c r="V43" s="31">
        <v>0</v>
      </c>
      <c r="X43" s="31">
        <f t="shared" si="5"/>
        <v>-41750052</v>
      </c>
      <c r="Z43" s="31">
        <f t="shared" si="6"/>
        <v>45978104.423999995</v>
      </c>
    </row>
    <row r="44" spans="1:26" ht="15" customHeight="1">
      <c r="A44" s="7">
        <f t="shared" si="0"/>
        <v>32</v>
      </c>
      <c r="B44" s="12" t="s">
        <v>52</v>
      </c>
      <c r="C44" s="39">
        <f>SUM(C27:C43)</f>
        <v>1717319076.3255508</v>
      </c>
      <c r="E44" s="197">
        <f aca="true" t="shared" si="7" ref="E44:L44">SUM(E27:E43)</f>
        <v>0</v>
      </c>
      <c r="F44" s="197">
        <f t="shared" si="7"/>
        <v>-1102189.1866670542</v>
      </c>
      <c r="G44" s="197">
        <f t="shared" si="7"/>
        <v>-1580682.4020000002</v>
      </c>
      <c r="H44" s="197">
        <f t="shared" si="7"/>
        <v>-22030.774908732434</v>
      </c>
      <c r="I44" s="197">
        <f t="shared" si="7"/>
        <v>-240580.50956817373</v>
      </c>
      <c r="J44" s="197">
        <f t="shared" si="7"/>
        <v>-11069613.074336443</v>
      </c>
      <c r="K44" s="197">
        <f>SUM(K27:K43)</f>
        <v>-42579740.053243525</v>
      </c>
      <c r="L44" s="197">
        <f t="shared" si="7"/>
        <v>-736593.0999629035</v>
      </c>
      <c r="M44" s="197">
        <f aca="true" t="shared" si="8" ref="M44:X44">SUM(M27:M43)</f>
        <v>-15151260.664850999</v>
      </c>
      <c r="N44" s="197">
        <f t="shared" si="8"/>
        <v>-529063.2321625247</v>
      </c>
      <c r="O44" s="197">
        <f t="shared" si="8"/>
        <v>-1550261.1328623954</v>
      </c>
      <c r="P44" s="197">
        <f t="shared" si="8"/>
        <v>-3716691.171</v>
      </c>
      <c r="Q44" s="197">
        <f t="shared" si="8"/>
        <v>-997738.5982457534</v>
      </c>
      <c r="R44" s="197">
        <f t="shared" si="8"/>
        <v>-236459.32974974997</v>
      </c>
      <c r="S44" s="197">
        <f t="shared" si="8"/>
        <v>-8062.1246725500005</v>
      </c>
      <c r="T44" s="197">
        <f t="shared" si="8"/>
        <v>-45618.62426094788</v>
      </c>
      <c r="U44" s="197">
        <f t="shared" si="8"/>
        <v>-9729.74550795</v>
      </c>
      <c r="V44" s="197">
        <f t="shared" si="8"/>
        <v>-1290448.7505815008</v>
      </c>
      <c r="X44" s="197">
        <f t="shared" si="8"/>
        <v>-80866762.4745812</v>
      </c>
      <c r="Z44" s="197">
        <f>SUM(Z27:Z43)</f>
        <v>1636452313.8509698</v>
      </c>
    </row>
    <row r="45" spans="1:26" ht="15" customHeight="1">
      <c r="A45" s="7">
        <f t="shared" si="0"/>
        <v>33</v>
      </c>
      <c r="C45" s="35"/>
      <c r="E45" s="35"/>
      <c r="F45" s="35"/>
      <c r="G45" s="102"/>
      <c r="H45" s="35" t="s">
        <v>0</v>
      </c>
      <c r="I45" s="35" t="s">
        <v>0</v>
      </c>
      <c r="J45" s="35" t="s">
        <v>0</v>
      </c>
      <c r="K45" s="35"/>
      <c r="L45" s="35"/>
      <c r="M45" s="102"/>
      <c r="N45" s="102"/>
      <c r="O45" s="102"/>
      <c r="P45" s="35"/>
      <c r="Q45" s="35"/>
      <c r="R45" s="35"/>
      <c r="S45" s="35"/>
      <c r="T45" s="35"/>
      <c r="U45" s="35"/>
      <c r="V45" s="35"/>
      <c r="X45" s="35"/>
      <c r="Z45" s="35"/>
    </row>
    <row r="46" spans="1:26" ht="15" customHeight="1">
      <c r="A46" s="7">
        <f t="shared" si="0"/>
        <v>34</v>
      </c>
      <c r="B46" s="2" t="s">
        <v>53</v>
      </c>
      <c r="C46" s="31">
        <f>C18-C44</f>
        <v>172036857.6686697</v>
      </c>
      <c r="E46" s="198">
        <f>E18-E44</f>
        <v>0</v>
      </c>
      <c r="F46" s="198">
        <f aca="true" t="shared" si="9" ref="F46:L46">F18-F44</f>
        <v>1102189.1866670542</v>
      </c>
      <c r="G46" s="198">
        <f t="shared" si="9"/>
        <v>1580682.4020000002</v>
      </c>
      <c r="H46" s="198">
        <f t="shared" si="9"/>
        <v>22030.774908732434</v>
      </c>
      <c r="I46" s="198">
        <f>I18-I44</f>
        <v>240580.50956817373</v>
      </c>
      <c r="J46" s="198">
        <f t="shared" si="9"/>
        <v>11069613.074336443</v>
      </c>
      <c r="K46" s="198">
        <f t="shared" si="9"/>
        <v>42579740.053243525</v>
      </c>
      <c r="L46" s="198">
        <f t="shared" si="9"/>
        <v>736593.0999629035</v>
      </c>
      <c r="M46" s="198">
        <f aca="true" t="shared" si="10" ref="M46:U46">M18-M44</f>
        <v>15151260.664850999</v>
      </c>
      <c r="N46" s="198">
        <f t="shared" si="10"/>
        <v>529063.2321625247</v>
      </c>
      <c r="O46" s="198">
        <f t="shared" si="10"/>
        <v>1550261.1328623954</v>
      </c>
      <c r="P46" s="198">
        <f t="shared" si="10"/>
        <v>3716691.171</v>
      </c>
      <c r="Q46" s="198">
        <f t="shared" si="10"/>
        <v>997738.5982457534</v>
      </c>
      <c r="R46" s="198">
        <f t="shared" si="10"/>
        <v>236459.32974974997</v>
      </c>
      <c r="S46" s="198">
        <f t="shared" si="10"/>
        <v>8062.1246725500005</v>
      </c>
      <c r="T46" s="198">
        <f t="shared" si="10"/>
        <v>45618.62426094788</v>
      </c>
      <c r="U46" s="198">
        <f t="shared" si="10"/>
        <v>9729.74550795</v>
      </c>
      <c r="V46" s="198">
        <f>V18-V44</f>
        <v>1290448.7505815008</v>
      </c>
      <c r="X46" s="198">
        <f>X18-X44</f>
        <v>80866762.4745812</v>
      </c>
      <c r="Z46" s="198">
        <f>Z18-Z44</f>
        <v>252903620.1432507</v>
      </c>
    </row>
    <row r="47" spans="1:26" ht="15" customHeight="1">
      <c r="A47" s="7">
        <f t="shared" si="0"/>
        <v>35</v>
      </c>
      <c r="B47" s="12"/>
      <c r="C47" s="42" t="s">
        <v>0</v>
      </c>
      <c r="E47" s="66"/>
      <c r="F47" s="42"/>
      <c r="G47" s="108"/>
      <c r="H47" s="42"/>
      <c r="I47" s="42"/>
      <c r="J47" s="42"/>
      <c r="K47" s="42"/>
      <c r="L47" s="42"/>
      <c r="M47" s="42"/>
      <c r="N47" s="42"/>
      <c r="O47" s="42"/>
      <c r="P47" s="42" t="s">
        <v>0</v>
      </c>
      <c r="Q47" s="42" t="s">
        <v>0</v>
      </c>
      <c r="R47" s="42" t="s">
        <v>0</v>
      </c>
      <c r="S47" s="42" t="s">
        <v>0</v>
      </c>
      <c r="T47" s="42" t="s">
        <v>0</v>
      </c>
      <c r="U47" s="42" t="s">
        <v>0</v>
      </c>
      <c r="V47" s="42" t="s">
        <v>0</v>
      </c>
      <c r="X47" s="42"/>
      <c r="Z47" s="42"/>
    </row>
    <row r="48" spans="1:26" ht="15" customHeight="1">
      <c r="A48" s="7">
        <f t="shared" si="0"/>
        <v>36</v>
      </c>
      <c r="B48" s="2" t="s">
        <v>54</v>
      </c>
      <c r="C48" s="31">
        <v>3298556021.3311253</v>
      </c>
      <c r="E48" s="38">
        <f>+COR!F20</f>
        <v>0</v>
      </c>
      <c r="F48" s="31">
        <v>-48370961</v>
      </c>
      <c r="G48" s="102">
        <v>-15270981.6666667</v>
      </c>
      <c r="H48" s="31">
        <f>+'Hopkins Ridge'!G34</f>
        <v>14335.3857277293</v>
      </c>
      <c r="I48" s="31">
        <f>+'Wild Horse'!G34</f>
        <v>24733.848286826164</v>
      </c>
      <c r="J48" s="31">
        <f>+'Storm Damages'!F30</f>
        <v>7156892.5</v>
      </c>
      <c r="K48" s="31">
        <v>0</v>
      </c>
      <c r="L48" s="31">
        <v>0</v>
      </c>
      <c r="M48" s="31">
        <f>+'King Deprec'!G34</f>
        <v>10926915.235</v>
      </c>
      <c r="N48" s="31">
        <v>0</v>
      </c>
      <c r="O48" s="31">
        <v>0</v>
      </c>
      <c r="P48" s="31">
        <v>0</v>
      </c>
      <c r="Q48" s="31">
        <v>0</v>
      </c>
      <c r="R48" s="31">
        <f>+Aircraft!F33</f>
        <v>509836.53699999995</v>
      </c>
      <c r="S48" s="31">
        <v>0</v>
      </c>
      <c r="T48" s="31">
        <v>0</v>
      </c>
      <c r="U48" s="31">
        <v>0</v>
      </c>
      <c r="V48" s="31">
        <v>0</v>
      </c>
      <c r="X48" s="31">
        <f>SUM(E48:V48)</f>
        <v>-45009229.160652146</v>
      </c>
      <c r="Z48" s="31">
        <f>+X48+C48</f>
        <v>3253546792.170473</v>
      </c>
    </row>
    <row r="49" spans="1:26" ht="15" customHeight="1">
      <c r="A49" s="7">
        <f t="shared" si="0"/>
        <v>37</v>
      </c>
      <c r="C49" s="35"/>
      <c r="E49" s="3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X49" s="35"/>
      <c r="Z49" s="35"/>
    </row>
    <row r="50" spans="1:26" ht="15" customHeight="1">
      <c r="A50" s="7">
        <f t="shared" si="0"/>
        <v>38</v>
      </c>
      <c r="B50" s="2" t="s">
        <v>301</v>
      </c>
      <c r="C50" s="29">
        <v>0.086</v>
      </c>
      <c r="E50" s="3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X50" s="29"/>
      <c r="Z50" s="29"/>
    </row>
    <row r="51" spans="1:26" ht="15" customHeight="1">
      <c r="A51" s="7">
        <f t="shared" si="0"/>
        <v>39</v>
      </c>
      <c r="C51" s="29"/>
      <c r="E51" s="3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X51" s="29"/>
      <c r="Z51" s="29"/>
    </row>
    <row r="52" spans="1:26" ht="15" customHeight="1">
      <c r="A52" s="7">
        <f t="shared" si="0"/>
        <v>40</v>
      </c>
      <c r="B52" s="2" t="s">
        <v>302</v>
      </c>
      <c r="C52" s="199">
        <v>0.0786</v>
      </c>
      <c r="E52" s="29">
        <f aca="true" t="shared" si="11" ref="E52:V52">+$C$52</f>
        <v>0.0786</v>
      </c>
      <c r="F52" s="29">
        <f t="shared" si="11"/>
        <v>0.0786</v>
      </c>
      <c r="G52" s="29">
        <f t="shared" si="11"/>
        <v>0.0786</v>
      </c>
      <c r="H52" s="29">
        <f t="shared" si="11"/>
        <v>0.0786</v>
      </c>
      <c r="I52" s="29">
        <f t="shared" si="11"/>
        <v>0.0786</v>
      </c>
      <c r="J52" s="29">
        <f t="shared" si="11"/>
        <v>0.0786</v>
      </c>
      <c r="K52" s="29">
        <f t="shared" si="11"/>
        <v>0.0786</v>
      </c>
      <c r="L52" s="29">
        <f t="shared" si="11"/>
        <v>0.0786</v>
      </c>
      <c r="M52" s="29">
        <f>+$C$52</f>
        <v>0.0786</v>
      </c>
      <c r="N52" s="29">
        <f t="shared" si="11"/>
        <v>0.0786</v>
      </c>
      <c r="O52" s="29">
        <f t="shared" si="11"/>
        <v>0.0786</v>
      </c>
      <c r="P52" s="29">
        <f t="shared" si="11"/>
        <v>0.0786</v>
      </c>
      <c r="Q52" s="29">
        <f t="shared" si="11"/>
        <v>0.0786</v>
      </c>
      <c r="R52" s="29">
        <f>+$C$52</f>
        <v>0.0786</v>
      </c>
      <c r="S52" s="29">
        <f t="shared" si="11"/>
        <v>0.0786</v>
      </c>
      <c r="T52" s="29">
        <f t="shared" si="11"/>
        <v>0.0786</v>
      </c>
      <c r="U52" s="29">
        <f t="shared" si="11"/>
        <v>0.0786</v>
      </c>
      <c r="V52" s="29">
        <f t="shared" si="11"/>
        <v>0.0786</v>
      </c>
      <c r="X52" s="29"/>
      <c r="Z52" s="29"/>
    </row>
    <row r="53" spans="1:26" ht="15" customHeight="1">
      <c r="A53" s="7">
        <f t="shared" si="0"/>
        <v>41</v>
      </c>
      <c r="C53" s="29"/>
      <c r="E53" s="29"/>
      <c r="F53" s="29"/>
      <c r="G53" s="29"/>
      <c r="M53" s="29"/>
      <c r="R53" s="29"/>
      <c r="X53" s="29"/>
      <c r="Z53" s="29"/>
    </row>
    <row r="54" spans="1:26" ht="15" customHeight="1">
      <c r="A54" s="7">
        <f t="shared" si="0"/>
        <v>42</v>
      </c>
      <c r="B54" s="2" t="s">
        <v>316</v>
      </c>
      <c r="C54" s="39">
        <f>C48*(C52-C50)</f>
        <v>-24409314.557850294</v>
      </c>
      <c r="E54" s="39">
        <f>+E52*E48</f>
        <v>0</v>
      </c>
      <c r="F54" s="39">
        <f>F52*F48</f>
        <v>-3801957.5346000004</v>
      </c>
      <c r="G54" s="39">
        <f aca="true" t="shared" si="12" ref="G54:V54">G52*G48</f>
        <v>-1200299.1590000025</v>
      </c>
      <c r="H54" s="39">
        <f t="shared" si="12"/>
        <v>1126.761318199523</v>
      </c>
      <c r="I54" s="39">
        <f t="shared" si="12"/>
        <v>1944.0804753445366</v>
      </c>
      <c r="J54" s="39">
        <f t="shared" si="12"/>
        <v>562531.7505</v>
      </c>
      <c r="K54" s="39">
        <f t="shared" si="12"/>
        <v>0</v>
      </c>
      <c r="L54" s="39">
        <f t="shared" si="12"/>
        <v>0</v>
      </c>
      <c r="M54" s="39">
        <f t="shared" si="12"/>
        <v>858855.537471</v>
      </c>
      <c r="N54" s="39">
        <f t="shared" si="12"/>
        <v>0</v>
      </c>
      <c r="O54" s="39">
        <f t="shared" si="12"/>
        <v>0</v>
      </c>
      <c r="P54" s="39">
        <f t="shared" si="12"/>
        <v>0</v>
      </c>
      <c r="Q54" s="39">
        <f t="shared" si="12"/>
        <v>0</v>
      </c>
      <c r="R54" s="39">
        <f t="shared" si="12"/>
        <v>40073.1518082</v>
      </c>
      <c r="S54" s="39">
        <f t="shared" si="12"/>
        <v>0</v>
      </c>
      <c r="T54" s="39">
        <f t="shared" si="12"/>
        <v>0</v>
      </c>
      <c r="U54" s="39">
        <f t="shared" si="12"/>
        <v>0</v>
      </c>
      <c r="V54" s="39">
        <f t="shared" si="12"/>
        <v>0</v>
      </c>
      <c r="W54" s="39"/>
      <c r="X54" s="39">
        <f>SUM(C54:V54)</f>
        <v>-27947039.969877552</v>
      </c>
      <c r="Y54" s="39"/>
      <c r="Z54" s="39"/>
    </row>
    <row r="55" spans="1:26" ht="15" customHeight="1">
      <c r="A55" s="7">
        <f t="shared" si="0"/>
        <v>43</v>
      </c>
      <c r="C55" s="29"/>
      <c r="E55" s="37"/>
      <c r="F55" s="29"/>
      <c r="G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X55" s="29"/>
      <c r="Z55" s="29"/>
    </row>
    <row r="56" spans="1:26" ht="15" customHeight="1">
      <c r="A56" s="7">
        <f t="shared" si="0"/>
        <v>44</v>
      </c>
      <c r="B56" s="2" t="s">
        <v>212</v>
      </c>
      <c r="C56" s="200">
        <f>'Conversion Factor'!$G$22</f>
        <v>1.5089154</v>
      </c>
      <c r="E56" s="200">
        <f>'Conversion Factor'!$G$22</f>
        <v>1.5089154</v>
      </c>
      <c r="F56" s="200">
        <f>'Conversion Factor'!$G$22</f>
        <v>1.5089154</v>
      </c>
      <c r="G56" s="200">
        <f>'Conversion Factor'!$G$22</f>
        <v>1.5089154</v>
      </c>
      <c r="H56" s="200">
        <f>'Conversion Factor'!$G$22</f>
        <v>1.5089154</v>
      </c>
      <c r="I56" s="200">
        <f>'Conversion Factor'!$G$22</f>
        <v>1.5089154</v>
      </c>
      <c r="J56" s="200">
        <f>'Conversion Factor'!$G$22</f>
        <v>1.5089154</v>
      </c>
      <c r="K56" s="200">
        <f>'Conversion Factor'!$G$22</f>
        <v>1.5089154</v>
      </c>
      <c r="L56" s="200">
        <f>'Conversion Factor'!$G$22</f>
        <v>1.5089154</v>
      </c>
      <c r="M56" s="200">
        <f>'Conversion Factor'!$G$22</f>
        <v>1.5089154</v>
      </c>
      <c r="N56" s="200">
        <f>'Conversion Factor'!$G$22</f>
        <v>1.5089154</v>
      </c>
      <c r="O56" s="200">
        <f>'Conversion Factor'!$G$22</f>
        <v>1.5089154</v>
      </c>
      <c r="P56" s="200">
        <f>'Conversion Factor'!$G$22</f>
        <v>1.5089154</v>
      </c>
      <c r="Q56" s="200">
        <f>'Conversion Factor'!$G$22</f>
        <v>1.5089154</v>
      </c>
      <c r="R56" s="200">
        <f>'Conversion Factor'!$G$22</f>
        <v>1.5089154</v>
      </c>
      <c r="S56" s="200">
        <f>'Conversion Factor'!$G$22</f>
        <v>1.5089154</v>
      </c>
      <c r="T56" s="200">
        <f>'Conversion Factor'!$G$22</f>
        <v>1.5089154</v>
      </c>
      <c r="U56" s="200">
        <f>'Conversion Factor'!$G$22</f>
        <v>1.5089154</v>
      </c>
      <c r="V56" s="200">
        <f>'Conversion Factor'!$G$22</f>
        <v>1.5089154</v>
      </c>
      <c r="X56" s="200"/>
      <c r="Z56" s="200"/>
    </row>
    <row r="57" spans="1:26" ht="15" customHeight="1">
      <c r="A57" s="7">
        <f t="shared" si="0"/>
        <v>45</v>
      </c>
      <c r="C57" s="29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X57" s="201"/>
      <c r="Z57" s="201"/>
    </row>
    <row r="58" spans="1:26" ht="15" customHeight="1">
      <c r="A58" s="7">
        <f t="shared" si="0"/>
        <v>46</v>
      </c>
      <c r="B58" s="2" t="s">
        <v>62</v>
      </c>
      <c r="C58" s="39">
        <f>+C54*C56</f>
        <v>-36831590.6397845</v>
      </c>
      <c r="E58" s="202">
        <f>+(+E46+E54)*E56</f>
        <v>0</v>
      </c>
      <c r="F58" s="202">
        <f aca="true" t="shared" si="13" ref="F58:V58">+(-F46+F54)*F56</f>
        <v>-7399942.511579366</v>
      </c>
      <c r="G58" s="202">
        <f t="shared" si="13"/>
        <v>-4196265.904508944</v>
      </c>
      <c r="H58" s="202">
        <f t="shared" si="13"/>
        <v>-31542.388028564405</v>
      </c>
      <c r="I58" s="202">
        <f t="shared" si="13"/>
        <v>-360082.182859178</v>
      </c>
      <c r="J58" s="202">
        <f t="shared" si="13"/>
        <v>-15854296.818589197</v>
      </c>
      <c r="K58" s="202">
        <f t="shared" si="13"/>
        <v>-64249225.49433598</v>
      </c>
      <c r="L58" s="202">
        <f t="shared" si="13"/>
        <v>-1111456.6720677647</v>
      </c>
      <c r="M58" s="202">
        <f t="shared" si="13"/>
        <v>-21566030.19974264</v>
      </c>
      <c r="N58" s="202">
        <f t="shared" si="13"/>
        <v>-798311.6585838088</v>
      </c>
      <c r="O58" s="202">
        <f t="shared" si="13"/>
        <v>-2339212.8973975144</v>
      </c>
      <c r="P58" s="202">
        <f t="shared" si="13"/>
        <v>-5608172.544965934</v>
      </c>
      <c r="Q58" s="202">
        <f t="shared" si="13"/>
        <v>-1505503.1360674303</v>
      </c>
      <c r="R58" s="202">
        <f t="shared" si="13"/>
        <v>-296330.12824314507</v>
      </c>
      <c r="S58" s="202">
        <f t="shared" si="13"/>
        <v>-12165.064075130653</v>
      </c>
      <c r="T58" s="202">
        <f t="shared" si="13"/>
        <v>-68834.64467415787</v>
      </c>
      <c r="U58" s="202">
        <f t="shared" si="13"/>
        <v>-14681.362835026577</v>
      </c>
      <c r="V58" s="202">
        <f t="shared" si="13"/>
        <v>-1947177.9926631856</v>
      </c>
      <c r="X58" s="198">
        <f>SUM(C58:V58)</f>
        <v>-164190822.24100143</v>
      </c>
      <c r="Z58" s="198"/>
    </row>
    <row r="59" spans="1:26" s="60" customFormat="1" ht="12.75">
      <c r="A59" s="59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2"/>
      <c r="Q59" s="62"/>
      <c r="R59" s="62"/>
      <c r="S59" s="62"/>
      <c r="T59" s="62"/>
      <c r="U59" s="62"/>
      <c r="V59" s="62"/>
      <c r="X59" s="62"/>
      <c r="Z59" s="62"/>
    </row>
    <row r="60" spans="1:5" s="60" customFormat="1" ht="12.75">
      <c r="A60" s="59"/>
      <c r="E60" s="67"/>
    </row>
    <row r="61" spans="1:5" s="60" customFormat="1" ht="12.75">
      <c r="A61" s="59"/>
      <c r="E61" s="67"/>
    </row>
    <row r="62" spans="1:18" s="60" customFormat="1" ht="12.75">
      <c r="A62" s="59"/>
      <c r="E62" s="68"/>
      <c r="R62" s="63"/>
    </row>
    <row r="63" spans="1:26" s="60" customFormat="1" ht="12.75">
      <c r="A63" s="59"/>
      <c r="E63" s="69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X63" s="63"/>
      <c r="Z63" s="63"/>
    </row>
    <row r="64" spans="1:5" s="60" customFormat="1" ht="12.75">
      <c r="A64" s="59"/>
      <c r="E64" s="68"/>
    </row>
    <row r="65" spans="1:26" s="60" customFormat="1" ht="12.75">
      <c r="A65" s="59"/>
      <c r="E65" s="7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X65" s="61"/>
      <c r="Z65" s="61"/>
    </row>
    <row r="66" spans="1:26" ht="15" customHeight="1">
      <c r="A66" s="64"/>
      <c r="B66" s="17"/>
      <c r="C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X66" s="17"/>
      <c r="Z66" s="17"/>
    </row>
    <row r="67" spans="1:26" ht="15" customHeight="1">
      <c r="A67" s="14"/>
      <c r="B67" s="14"/>
      <c r="C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X67" s="14"/>
      <c r="Z67" s="14"/>
    </row>
    <row r="68" spans="1:26" ht="15" customHeight="1">
      <c r="A68" s="14"/>
      <c r="B68" s="14"/>
      <c r="C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X68" s="14"/>
      <c r="Z68" s="14"/>
    </row>
    <row r="69" spans="1:26" ht="15" customHeight="1">
      <c r="A69" s="64"/>
      <c r="B69" s="14"/>
      <c r="C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X69" s="19"/>
      <c r="Z69" s="19"/>
    </row>
    <row r="70" spans="1:26" ht="15.75" customHeight="1">
      <c r="A70" s="64"/>
      <c r="B70" s="17"/>
      <c r="C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X70" s="17"/>
      <c r="Z70" s="17"/>
    </row>
    <row r="71" spans="1:26" ht="15" customHeight="1">
      <c r="A71" s="14"/>
      <c r="B71" s="14"/>
      <c r="C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X71" s="17"/>
      <c r="Z71" s="17"/>
    </row>
    <row r="72" spans="1:26" ht="15" customHeight="1">
      <c r="A72" s="14"/>
      <c r="B72" s="14"/>
      <c r="C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X72" s="14"/>
      <c r="Z72" s="14"/>
    </row>
    <row r="73" spans="1:26" ht="15" customHeight="1">
      <c r="A73" s="64"/>
      <c r="B73" s="14"/>
      <c r="C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X73" s="19"/>
      <c r="Z73" s="19"/>
    </row>
    <row r="74" spans="1:26" ht="15" customHeight="1">
      <c r="A74" s="15"/>
      <c r="B74" s="14"/>
      <c r="C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X74" s="19"/>
      <c r="Z74" s="19"/>
    </row>
    <row r="75" spans="1:26" ht="15" customHeight="1">
      <c r="A75" s="14"/>
      <c r="B75" s="14"/>
      <c r="C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X75" s="17"/>
      <c r="Z75" s="17"/>
    </row>
    <row r="76" spans="1:26" ht="15" customHeight="1">
      <c r="A76" s="14"/>
      <c r="B76" s="14"/>
      <c r="C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X76" s="14"/>
      <c r="Z76" s="14"/>
    </row>
    <row r="77" spans="1:26" ht="15" customHeight="1">
      <c r="A77" s="17"/>
      <c r="B77" s="17"/>
      <c r="C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X77" s="17"/>
      <c r="Z77" s="17"/>
    </row>
    <row r="78" spans="1:26" ht="15" customHeight="1">
      <c r="A78" s="15"/>
      <c r="B78" s="14"/>
      <c r="C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X78" s="19"/>
      <c r="Z78" s="19"/>
    </row>
    <row r="79" spans="1:26" ht="15" customHeight="1">
      <c r="A79" s="14"/>
      <c r="B79" s="14"/>
      <c r="C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X79" s="17"/>
      <c r="Z79" s="17"/>
    </row>
    <row r="80" spans="1:26" ht="15" customHeight="1">
      <c r="A80" s="14"/>
      <c r="B80" s="14"/>
      <c r="C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X80" s="14"/>
      <c r="Z80" s="14"/>
    </row>
    <row r="81" spans="1:26" ht="15" customHeight="1">
      <c r="A81" s="14"/>
      <c r="B81" s="14"/>
      <c r="C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X81" s="14"/>
      <c r="Z81" s="14"/>
    </row>
    <row r="82" spans="1:26" ht="15" customHeight="1">
      <c r="A82" s="64"/>
      <c r="B82" s="14"/>
      <c r="C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X82" s="17"/>
      <c r="Z82" s="17"/>
    </row>
    <row r="83" spans="1:26" ht="15" customHeight="1">
      <c r="A83" s="64"/>
      <c r="B83" s="20"/>
      <c r="C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X83" s="17"/>
      <c r="Z83" s="17"/>
    </row>
    <row r="84" spans="1:26" ht="15" customHeight="1">
      <c r="A84" s="14"/>
      <c r="B84" s="14"/>
      <c r="C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X84" s="17"/>
      <c r="Z84" s="17"/>
    </row>
    <row r="85" spans="1:26" ht="15" customHeight="1">
      <c r="A85" s="14"/>
      <c r="B85" s="14"/>
      <c r="C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X85" s="14"/>
      <c r="Z85" s="14"/>
    </row>
    <row r="86" spans="1:26" ht="15" customHeight="1">
      <c r="A86" s="14"/>
      <c r="B86" s="14"/>
      <c r="C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X86" s="14"/>
      <c r="Z86" s="14"/>
    </row>
    <row r="87" spans="1:26" ht="15" customHeight="1">
      <c r="A87" s="64"/>
      <c r="B87" s="14"/>
      <c r="C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X87" s="17"/>
      <c r="Z87" s="17"/>
    </row>
    <row r="88" spans="1:26" ht="15" customHeight="1">
      <c r="A88" s="15"/>
      <c r="B88" s="14"/>
      <c r="C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X88" s="17"/>
      <c r="Z88" s="17"/>
    </row>
    <row r="89" spans="1:26" ht="15" customHeight="1">
      <c r="A89" s="14"/>
      <c r="B89" s="14"/>
      <c r="C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X89" s="17"/>
      <c r="Z89" s="17"/>
    </row>
    <row r="90" spans="1:26" ht="15" customHeight="1">
      <c r="A90" s="14"/>
      <c r="B90" s="14"/>
      <c r="C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X90" s="14"/>
      <c r="Z90" s="14"/>
    </row>
    <row r="91" spans="1:26" ht="15" customHeight="1">
      <c r="A91" s="14"/>
      <c r="B91" s="14"/>
      <c r="C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X91" s="14"/>
      <c r="Z91" s="14"/>
    </row>
    <row r="92" spans="1:26" ht="15" customHeight="1">
      <c r="A92" s="17"/>
      <c r="B92" s="20"/>
      <c r="C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X92" s="17"/>
      <c r="Z92" s="17"/>
    </row>
    <row r="93" spans="1:26" ht="15" customHeight="1">
      <c r="A93" s="15"/>
      <c r="B93" s="20"/>
      <c r="C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X93" s="17"/>
      <c r="Z93" s="17"/>
    </row>
    <row r="94" spans="1:26" ht="15" customHeight="1">
      <c r="A94" s="17"/>
      <c r="B94" s="17"/>
      <c r="C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X94" s="17"/>
      <c r="Z94" s="17"/>
    </row>
  </sheetData>
  <sheetProtection/>
  <mergeCells count="2">
    <mergeCell ref="E7:N7"/>
    <mergeCell ref="O7:V7"/>
  </mergeCells>
  <printOptions horizontalCentered="1"/>
  <pageMargins left="0.25" right="0.75" top="0.3" bottom="0.29" header="0.2" footer="0.16"/>
  <pageSetup firstPageNumber="1" useFirstPageNumber="1" fitToWidth="0" horizontalDpi="600" verticalDpi="600" orientation="landscape" scale="65" r:id="rId1"/>
  <headerFooter alignWithMargins="0">
    <oddHeader>&amp;R&amp;"Times New Roman,Regular"&amp;10Exhibit No.___(MJM-4)
Schedule 2(E)
Page &amp;P of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view="pageLayout" zoomScaleNormal="75" workbookViewId="0" topLeftCell="G1">
      <selection activeCell="N6" sqref="N6"/>
    </sheetView>
  </sheetViews>
  <sheetFormatPr defaultColWidth="9.16015625" defaultRowHeight="12.75" customHeight="1"/>
  <cols>
    <col min="1" max="1" width="10.83203125" style="2" customWidth="1"/>
    <col min="2" max="2" width="47.83203125" style="2" bestFit="1" customWidth="1"/>
    <col min="3" max="3" width="18.33203125" style="2" customWidth="1"/>
    <col min="4" max="4" width="2.16015625" style="14" customWidth="1"/>
    <col min="5" max="5" width="22" style="14" bestFit="1" customWidth="1"/>
    <col min="6" max="6" width="19.83203125" style="2" bestFit="1" customWidth="1"/>
    <col min="7" max="7" width="16.33203125" style="2" bestFit="1" customWidth="1"/>
    <col min="8" max="8" width="18.5" style="2" bestFit="1" customWidth="1"/>
    <col min="9" max="9" width="20" style="2" bestFit="1" customWidth="1"/>
    <col min="10" max="11" width="14" style="2" bestFit="1" customWidth="1"/>
    <col min="12" max="12" width="18.33203125" style="2" bestFit="1" customWidth="1"/>
    <col min="13" max="13" width="13" style="2" bestFit="1" customWidth="1"/>
    <col min="14" max="14" width="12.83203125" style="2" bestFit="1" customWidth="1"/>
    <col min="15" max="15" width="14.5" style="2" bestFit="1" customWidth="1"/>
    <col min="16" max="16" width="11.66015625" style="2" bestFit="1" customWidth="1"/>
    <col min="17" max="17" width="14" style="2" bestFit="1" customWidth="1"/>
    <col min="18" max="18" width="5.16015625" style="14" customWidth="1"/>
    <col min="19" max="19" width="18.5" style="2" customWidth="1"/>
    <col min="20" max="20" width="2.33203125" style="2" customWidth="1"/>
    <col min="21" max="21" width="17.33203125" style="2" bestFit="1" customWidth="1"/>
    <col min="22" max="16384" width="9.16015625" style="2" customWidth="1"/>
  </cols>
  <sheetData>
    <row r="1" spans="1:21" s="12" customFormat="1" ht="14.25" customHeight="1">
      <c r="A1" s="298" t="s">
        <v>55</v>
      </c>
      <c r="B1" s="298"/>
      <c r="C1" s="298"/>
      <c r="D1" s="268"/>
      <c r="E1" s="268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8"/>
      <c r="S1" s="267"/>
      <c r="T1" s="267"/>
      <c r="U1" s="267"/>
    </row>
    <row r="2" spans="1:21" s="12" customFormat="1" ht="14.25" customHeight="1">
      <c r="A2" s="298" t="s">
        <v>7</v>
      </c>
      <c r="B2" s="298"/>
      <c r="C2" s="298"/>
      <c r="D2" s="270"/>
      <c r="E2" s="270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269"/>
      <c r="T2" s="269"/>
      <c r="U2" s="269"/>
    </row>
    <row r="3" spans="1:21" s="12" customFormat="1" ht="14.25" customHeight="1">
      <c r="A3" s="298" t="s">
        <v>6</v>
      </c>
      <c r="B3" s="298"/>
      <c r="C3" s="298"/>
      <c r="D3" s="270"/>
      <c r="E3" s="270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  <c r="S3" s="269"/>
      <c r="T3" s="269"/>
      <c r="U3" s="269"/>
    </row>
    <row r="4" spans="1:21" s="12" customFormat="1" ht="14.25" customHeight="1">
      <c r="A4" s="298" t="s">
        <v>8</v>
      </c>
      <c r="B4" s="298"/>
      <c r="C4" s="298"/>
      <c r="D4" s="271"/>
      <c r="E4" s="27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71"/>
      <c r="S4" s="56"/>
      <c r="T4" s="56"/>
      <c r="U4" s="56"/>
    </row>
    <row r="5" spans="1:21" s="12" customFormat="1" ht="14.25" customHeight="1">
      <c r="A5" s="297" t="s">
        <v>293</v>
      </c>
      <c r="B5" s="297"/>
      <c r="C5" s="297"/>
      <c r="D5" s="271"/>
      <c r="E5" s="271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71"/>
      <c r="S5" s="56"/>
      <c r="T5" s="56"/>
      <c r="U5" s="56"/>
    </row>
    <row r="6" spans="4:18" s="12" customFormat="1" ht="12.75" customHeight="1">
      <c r="D6" s="20"/>
      <c r="E6" s="20"/>
      <c r="R6" s="20"/>
    </row>
    <row r="8" spans="3:21" ht="14.25" customHeight="1">
      <c r="C8" s="15" t="s">
        <v>119</v>
      </c>
      <c r="D8" s="15"/>
      <c r="E8" s="296" t="s">
        <v>294</v>
      </c>
      <c r="F8" s="296"/>
      <c r="G8" s="296"/>
      <c r="H8" s="296"/>
      <c r="I8" s="296"/>
      <c r="J8" s="296"/>
      <c r="K8" s="296"/>
      <c r="L8" s="296"/>
      <c r="M8" s="296"/>
      <c r="N8" s="296"/>
      <c r="O8" s="296" t="s">
        <v>294</v>
      </c>
      <c r="P8" s="296"/>
      <c r="Q8" s="296"/>
      <c r="R8" s="15"/>
      <c r="S8" s="15"/>
      <c r="T8" s="15"/>
      <c r="U8" s="15"/>
    </row>
    <row r="9" spans="3:21" ht="14.25" customHeight="1">
      <c r="C9" s="7" t="s">
        <v>15</v>
      </c>
      <c r="D9" s="15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5"/>
      <c r="S9" s="7"/>
      <c r="T9" s="288"/>
      <c r="U9" s="7" t="s">
        <v>239</v>
      </c>
    </row>
    <row r="10" spans="3:21" ht="14.25" customHeight="1">
      <c r="C10" s="7" t="s">
        <v>10</v>
      </c>
      <c r="D10" s="15"/>
      <c r="E10" s="15" t="s">
        <v>207</v>
      </c>
      <c r="F10" s="7" t="s">
        <v>118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5"/>
      <c r="S10" s="7" t="s">
        <v>13</v>
      </c>
      <c r="T10" s="288"/>
      <c r="U10" s="7" t="s">
        <v>10</v>
      </c>
    </row>
    <row r="11" spans="1:21" ht="14.25" customHeight="1">
      <c r="A11" s="7" t="s">
        <v>9</v>
      </c>
      <c r="C11" s="7" t="s">
        <v>21</v>
      </c>
      <c r="D11" s="15"/>
      <c r="E11" s="15" t="s">
        <v>206</v>
      </c>
      <c r="F11" s="136" t="s">
        <v>170</v>
      </c>
      <c r="G11" s="7" t="s">
        <v>209</v>
      </c>
      <c r="H11" s="136" t="s">
        <v>172</v>
      </c>
      <c r="I11" s="7" t="s">
        <v>203</v>
      </c>
      <c r="J11" s="7"/>
      <c r="K11" s="7" t="s">
        <v>168</v>
      </c>
      <c r="L11" s="7" t="s">
        <v>146</v>
      </c>
      <c r="M11" s="7"/>
      <c r="N11" s="7" t="s">
        <v>108</v>
      </c>
      <c r="O11" s="7" t="s">
        <v>16</v>
      </c>
      <c r="P11" s="7" t="s">
        <v>103</v>
      </c>
      <c r="Q11" s="7" t="s">
        <v>215</v>
      </c>
      <c r="R11" s="15"/>
      <c r="S11" s="7" t="s">
        <v>239</v>
      </c>
      <c r="T11" s="288"/>
      <c r="U11" s="7" t="s">
        <v>21</v>
      </c>
    </row>
    <row r="12" spans="1:21" ht="14.25" customHeight="1">
      <c r="A12" s="21" t="s">
        <v>11</v>
      </c>
      <c r="B12" s="11"/>
      <c r="C12" s="21" t="s">
        <v>23</v>
      </c>
      <c r="D12" s="15"/>
      <c r="E12" s="21" t="s">
        <v>208</v>
      </c>
      <c r="F12" s="137" t="s">
        <v>171</v>
      </c>
      <c r="G12" s="21" t="s">
        <v>218</v>
      </c>
      <c r="H12" s="137" t="s">
        <v>17</v>
      </c>
      <c r="I12" s="21" t="s">
        <v>204</v>
      </c>
      <c r="J12" s="21" t="s">
        <v>127</v>
      </c>
      <c r="K12" s="21" t="s">
        <v>169</v>
      </c>
      <c r="L12" s="21" t="s">
        <v>147</v>
      </c>
      <c r="M12" s="21" t="s">
        <v>96</v>
      </c>
      <c r="N12" s="21" t="s">
        <v>109</v>
      </c>
      <c r="O12" s="21" t="s">
        <v>19</v>
      </c>
      <c r="P12" s="21" t="s">
        <v>104</v>
      </c>
      <c r="Q12" s="21" t="s">
        <v>219</v>
      </c>
      <c r="R12" s="15"/>
      <c r="S12" s="21" t="s">
        <v>20</v>
      </c>
      <c r="T12" s="288"/>
      <c r="U12" s="21" t="s">
        <v>23</v>
      </c>
    </row>
    <row r="13" spans="4:21" s="7" customFormat="1" ht="12.75" customHeight="1">
      <c r="D13" s="15"/>
      <c r="E13" s="191">
        <v>1</v>
      </c>
      <c r="F13" s="7">
        <v>2</v>
      </c>
      <c r="G13" s="7">
        <v>3</v>
      </c>
      <c r="H13" s="7">
        <v>4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7">
        <v>12</v>
      </c>
      <c r="Q13" s="7">
        <v>13</v>
      </c>
      <c r="R13" s="15"/>
      <c r="S13" s="7">
        <v>14</v>
      </c>
      <c r="U13" s="7">
        <v>15</v>
      </c>
    </row>
    <row r="14" spans="1:2" ht="12.75">
      <c r="A14" s="7">
        <v>1</v>
      </c>
      <c r="B14" s="13" t="s">
        <v>24</v>
      </c>
    </row>
    <row r="15" spans="1:21" ht="14.25" customHeight="1">
      <c r="A15" s="7">
        <f aca="true" t="shared" si="0" ref="A15:A51">+A14+1</f>
        <v>2</v>
      </c>
      <c r="B15" s="12" t="s">
        <v>26</v>
      </c>
      <c r="C15" s="46">
        <v>1054151650.2371519</v>
      </c>
      <c r="D15" s="204"/>
      <c r="E15" s="204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204"/>
      <c r="S15" s="46">
        <f>SUM(F15:Q15)</f>
        <v>0</v>
      </c>
      <c r="T15" s="46"/>
      <c r="U15" s="46">
        <f>+S15+C15</f>
        <v>1054151650.2371519</v>
      </c>
    </row>
    <row r="16" spans="1:21" ht="14.25" customHeight="1">
      <c r="A16" s="7">
        <f t="shared" si="0"/>
        <v>3</v>
      </c>
      <c r="B16" s="12" t="s">
        <v>56</v>
      </c>
      <c r="C16" s="28">
        <v>0</v>
      </c>
      <c r="D16" s="50"/>
      <c r="E16" s="50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50"/>
      <c r="S16" s="28">
        <f>SUM(F16:Q16)</f>
        <v>0</v>
      </c>
      <c r="T16" s="28"/>
      <c r="U16" s="28">
        <f>+S16+C16</f>
        <v>0</v>
      </c>
    </row>
    <row r="17" spans="1:21" ht="12.75">
      <c r="A17" s="7">
        <f t="shared" si="0"/>
        <v>4</v>
      </c>
      <c r="B17" s="12" t="s">
        <v>30</v>
      </c>
      <c r="C17" s="49">
        <v>14080433.337821234</v>
      </c>
      <c r="D17" s="50"/>
      <c r="E17" s="50">
        <v>0</v>
      </c>
      <c r="F17" s="49">
        <v>4150352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50"/>
      <c r="S17" s="49">
        <f>SUM(F17:Q17)</f>
        <v>4150352</v>
      </c>
      <c r="T17" s="49"/>
      <c r="U17" s="49">
        <f>+S17+C17</f>
        <v>18230785.337821234</v>
      </c>
    </row>
    <row r="18" spans="1:21" ht="14.25" customHeight="1">
      <c r="A18" s="7">
        <f t="shared" si="0"/>
        <v>5</v>
      </c>
      <c r="B18" s="12" t="s">
        <v>28</v>
      </c>
      <c r="C18" s="205">
        <f>SUM(C15:C17)</f>
        <v>1068232083.5749731</v>
      </c>
      <c r="D18" s="48"/>
      <c r="E18" s="206">
        <f aca="true" t="shared" si="1" ref="E18:Q18">SUM(E15:E17)</f>
        <v>0</v>
      </c>
      <c r="F18" s="206">
        <f t="shared" si="1"/>
        <v>4150352</v>
      </c>
      <c r="G18" s="206">
        <f t="shared" si="1"/>
        <v>0</v>
      </c>
      <c r="H18" s="206">
        <f t="shared" si="1"/>
        <v>0</v>
      </c>
      <c r="I18" s="206">
        <f t="shared" si="1"/>
        <v>0</v>
      </c>
      <c r="J18" s="206">
        <f t="shared" si="1"/>
        <v>0</v>
      </c>
      <c r="K18" s="206">
        <f t="shared" si="1"/>
        <v>0</v>
      </c>
      <c r="L18" s="206">
        <f t="shared" si="1"/>
        <v>0</v>
      </c>
      <c r="M18" s="206">
        <f t="shared" si="1"/>
        <v>0</v>
      </c>
      <c r="N18" s="206">
        <f t="shared" si="1"/>
        <v>0</v>
      </c>
      <c r="O18" s="206">
        <f t="shared" si="1"/>
        <v>0</v>
      </c>
      <c r="P18" s="206">
        <f t="shared" si="1"/>
        <v>0</v>
      </c>
      <c r="Q18" s="206">
        <f t="shared" si="1"/>
        <v>0</v>
      </c>
      <c r="R18" s="48"/>
      <c r="S18" s="206">
        <f>SUM(S15:S17)</f>
        <v>4150352</v>
      </c>
      <c r="T18" s="205"/>
      <c r="U18" s="206">
        <f>SUM(U15:U17)</f>
        <v>1072382435.5749731</v>
      </c>
    </row>
    <row r="19" ht="12.75">
      <c r="A19" s="7">
        <f t="shared" si="0"/>
        <v>6</v>
      </c>
    </row>
    <row r="20" spans="1:21" ht="12.75">
      <c r="A20" s="7">
        <f t="shared" si="0"/>
        <v>7</v>
      </c>
      <c r="C20" s="45"/>
      <c r="D20" s="44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4"/>
      <c r="S20" s="45"/>
      <c r="T20" s="45"/>
      <c r="U20" s="45"/>
    </row>
    <row r="21" spans="1:21" ht="12.75">
      <c r="A21" s="7">
        <f t="shared" si="0"/>
        <v>8</v>
      </c>
      <c r="B21" s="20" t="s">
        <v>33</v>
      </c>
      <c r="C21" s="45"/>
      <c r="D21" s="44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/>
      <c r="S21" s="45"/>
      <c r="T21" s="45"/>
      <c r="U21" s="45"/>
    </row>
    <row r="22" spans="1:21" ht="14.25" customHeight="1">
      <c r="A22" s="7">
        <f t="shared" si="0"/>
        <v>9</v>
      </c>
      <c r="C22" s="45"/>
      <c r="D22" s="44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/>
      <c r="S22" s="45"/>
      <c r="T22" s="45"/>
      <c r="U22" s="45"/>
    </row>
    <row r="23" spans="1:21" ht="14.25" customHeight="1">
      <c r="A23" s="7">
        <f t="shared" si="0"/>
        <v>10</v>
      </c>
      <c r="B23" s="12" t="s">
        <v>57</v>
      </c>
      <c r="C23" s="45"/>
      <c r="D23" s="44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4"/>
      <c r="S23" s="45"/>
      <c r="T23" s="45"/>
      <c r="U23" s="45"/>
    </row>
    <row r="24" spans="1:21" ht="12.75">
      <c r="A24" s="7">
        <f t="shared" si="0"/>
        <v>11</v>
      </c>
      <c r="B24" s="12"/>
      <c r="C24" s="53"/>
      <c r="D24" s="71"/>
      <c r="E24" s="7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1"/>
      <c r="S24" s="53"/>
      <c r="T24" s="53"/>
      <c r="U24" s="53"/>
    </row>
    <row r="25" spans="1:21" ht="12.75">
      <c r="A25" s="7">
        <f t="shared" si="0"/>
        <v>12</v>
      </c>
      <c r="B25" s="12" t="s">
        <v>58</v>
      </c>
      <c r="C25" s="46">
        <v>697016465.032033</v>
      </c>
      <c r="D25" s="204"/>
      <c r="E25" s="204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204"/>
      <c r="S25" s="46">
        <f>SUM(F25:Q25)</f>
        <v>0</v>
      </c>
      <c r="T25" s="46"/>
      <c r="U25" s="46">
        <f>+S25+C25</f>
        <v>697016465.032033</v>
      </c>
    </row>
    <row r="26" spans="1:21" ht="14.25" customHeight="1">
      <c r="A26" s="7">
        <f t="shared" si="0"/>
        <v>13</v>
      </c>
      <c r="B26" s="12"/>
      <c r="C26" s="28"/>
      <c r="D26" s="50"/>
      <c r="E26" s="50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0"/>
      <c r="S26" s="28"/>
      <c r="T26" s="28"/>
      <c r="U26" s="28"/>
    </row>
    <row r="27" spans="1:21" s="51" customFormat="1" ht="12.75">
      <c r="A27" s="7">
        <f t="shared" si="0"/>
        <v>14</v>
      </c>
      <c r="B27" s="12" t="s">
        <v>36</v>
      </c>
      <c r="C27" s="207">
        <f>SUM(C23:C26)</f>
        <v>697016465.032033</v>
      </c>
      <c r="D27" s="36"/>
      <c r="E27" s="208">
        <f aca="true" t="shared" si="2" ref="E27:Q27">SUM(E23:E26)</f>
        <v>0</v>
      </c>
      <c r="F27" s="208">
        <f t="shared" si="2"/>
        <v>0</v>
      </c>
      <c r="G27" s="208">
        <f t="shared" si="2"/>
        <v>0</v>
      </c>
      <c r="H27" s="208">
        <f t="shared" si="2"/>
        <v>0</v>
      </c>
      <c r="I27" s="208">
        <f t="shared" si="2"/>
        <v>0</v>
      </c>
      <c r="J27" s="208">
        <f t="shared" si="2"/>
        <v>0</v>
      </c>
      <c r="K27" s="208">
        <f t="shared" si="2"/>
        <v>0</v>
      </c>
      <c r="L27" s="208">
        <f t="shared" si="2"/>
        <v>0</v>
      </c>
      <c r="M27" s="208">
        <f t="shared" si="2"/>
        <v>0</v>
      </c>
      <c r="N27" s="208">
        <f t="shared" si="2"/>
        <v>0</v>
      </c>
      <c r="O27" s="208">
        <f t="shared" si="2"/>
        <v>0</v>
      </c>
      <c r="P27" s="208">
        <f t="shared" si="2"/>
        <v>0</v>
      </c>
      <c r="Q27" s="208">
        <f t="shared" si="2"/>
        <v>0</v>
      </c>
      <c r="R27" s="36"/>
      <c r="S27" s="208">
        <f>SUM(S23:S26)</f>
        <v>0</v>
      </c>
      <c r="T27" s="207"/>
      <c r="U27" s="208">
        <f>SUM(U23:U26)</f>
        <v>697016465.032033</v>
      </c>
    </row>
    <row r="28" spans="1:21" ht="12.75">
      <c r="A28" s="7">
        <f t="shared" si="0"/>
        <v>15</v>
      </c>
      <c r="B28" s="55"/>
      <c r="C28" s="54"/>
      <c r="D28" s="57"/>
      <c r="E28" s="57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7"/>
      <c r="S28" s="54"/>
      <c r="T28" s="54"/>
      <c r="U28" s="54"/>
    </row>
    <row r="29" spans="1:21" ht="12.75">
      <c r="A29" s="7">
        <f t="shared" si="0"/>
        <v>16</v>
      </c>
      <c r="B29" s="20" t="s">
        <v>38</v>
      </c>
      <c r="C29" s="46">
        <v>1769111</v>
      </c>
      <c r="D29" s="204"/>
      <c r="E29" s="204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f>-'Incentive pay'!G14-'Incentive pay'!G16-'Incentive pay'!G17</f>
        <v>-86093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204"/>
      <c r="S29" s="46">
        <f aca="true" t="shared" si="3" ref="S29:S43">SUM(F29:Q29)</f>
        <v>-86093</v>
      </c>
      <c r="T29" s="46"/>
      <c r="U29" s="46">
        <f aca="true" t="shared" si="4" ref="U29:U43">+S29+C29</f>
        <v>1683018</v>
      </c>
    </row>
    <row r="30" spans="1:21" ht="14.25" customHeight="1">
      <c r="A30" s="7">
        <f t="shared" si="0"/>
        <v>17</v>
      </c>
      <c r="B30" s="12" t="s">
        <v>39</v>
      </c>
      <c r="C30" s="28">
        <v>594787</v>
      </c>
      <c r="D30" s="50"/>
      <c r="E30" s="50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>-'Incentive pay'!G18</f>
        <v>-20469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50"/>
      <c r="S30" s="28">
        <f t="shared" si="3"/>
        <v>-20469</v>
      </c>
      <c r="T30" s="28"/>
      <c r="U30" s="28">
        <f t="shared" si="4"/>
        <v>574318</v>
      </c>
    </row>
    <row r="31" spans="1:21" ht="12.75">
      <c r="A31" s="7">
        <f t="shared" si="0"/>
        <v>18</v>
      </c>
      <c r="B31" s="12" t="s">
        <v>40</v>
      </c>
      <c r="C31" s="28">
        <v>42612405</v>
      </c>
      <c r="D31" s="50"/>
      <c r="E31" s="50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>-'Incentive pay'!G19</f>
        <v>-1421533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50"/>
      <c r="S31" s="28">
        <f t="shared" si="3"/>
        <v>-1421533</v>
      </c>
      <c r="T31" s="28"/>
      <c r="U31" s="28">
        <f t="shared" si="4"/>
        <v>41190872</v>
      </c>
    </row>
    <row r="32" spans="1:21" ht="12.75">
      <c r="A32" s="7">
        <f t="shared" si="0"/>
        <v>19</v>
      </c>
      <c r="B32" s="56" t="s">
        <v>41</v>
      </c>
      <c r="C32" s="28">
        <v>25903619.584550034</v>
      </c>
      <c r="D32" s="50"/>
      <c r="E32" s="50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>-'Incentive pay'!G20</f>
        <v>-513689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50"/>
      <c r="S32" s="28">
        <f t="shared" si="3"/>
        <v>-513689</v>
      </c>
      <c r="T32" s="28"/>
      <c r="U32" s="28">
        <f t="shared" si="4"/>
        <v>25389930.584550034</v>
      </c>
    </row>
    <row r="33" spans="1:21" s="52" customFormat="1" ht="12.75">
      <c r="A33" s="7">
        <f t="shared" si="0"/>
        <v>20</v>
      </c>
      <c r="B33" s="12" t="s">
        <v>42</v>
      </c>
      <c r="C33" s="28">
        <v>1353837.116705</v>
      </c>
      <c r="D33" s="50"/>
      <c r="E33" s="50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>-'Incentive pay'!G21-'Incentive pay'!G22</f>
        <v>-92154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50"/>
      <c r="S33" s="28">
        <f t="shared" si="3"/>
        <v>-92154</v>
      </c>
      <c r="T33" s="28"/>
      <c r="U33" s="28">
        <f t="shared" si="4"/>
        <v>1261683.116705</v>
      </c>
    </row>
    <row r="34" spans="1:21" ht="14.25" customHeight="1">
      <c r="A34" s="7">
        <f t="shared" si="0"/>
        <v>21</v>
      </c>
      <c r="B34" s="12" t="s">
        <v>43</v>
      </c>
      <c r="C34" s="28">
        <v>-0.40000000037252903</v>
      </c>
      <c r="D34" s="50"/>
      <c r="E34" s="50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50"/>
      <c r="S34" s="28">
        <f t="shared" si="3"/>
        <v>0</v>
      </c>
      <c r="T34" s="28"/>
      <c r="U34" s="28">
        <f t="shared" si="4"/>
        <v>-0.40000000037252903</v>
      </c>
    </row>
    <row r="35" spans="1:21" ht="14.25" customHeight="1">
      <c r="A35" s="7">
        <f t="shared" si="0"/>
        <v>22</v>
      </c>
      <c r="B35" s="12" t="s">
        <v>44</v>
      </c>
      <c r="C35" s="28">
        <v>40092409.07938529</v>
      </c>
      <c r="D35" s="50"/>
      <c r="E35" s="50">
        <v>0</v>
      </c>
      <c r="F35" s="28">
        <v>0</v>
      </c>
      <c r="G35" s="28">
        <v>0</v>
      </c>
      <c r="H35" s="28">
        <f>-Aircraft!G14</f>
        <v>0</v>
      </c>
      <c r="I35" s="28">
        <f>+'Exec Comp'!K26</f>
        <v>-273956.0079999226</v>
      </c>
      <c r="J35" s="28">
        <f>+SERP!H16</f>
        <v>-1309865.1372423554</v>
      </c>
      <c r="K35" s="28">
        <f>-'Incentive pay'!G23</f>
        <v>-794400</v>
      </c>
      <c r="L35" s="28">
        <f>+Shareholder!I25</f>
        <v>-769810.6866049999</v>
      </c>
      <c r="M35" s="28">
        <f>-Aircraft!H14</f>
        <v>-164674.26549999998</v>
      </c>
      <c r="N35" s="28">
        <f>+'Athletic Events'!H16</f>
        <v>-6220.376499999999</v>
      </c>
      <c r="O35" s="28">
        <f>+'D&amp;O'!H18</f>
        <v>-45235.60063980147</v>
      </c>
      <c r="P35" s="28">
        <f>+'Airport Parking'!H16</f>
        <v>-7507.0385</v>
      </c>
      <c r="Q35" s="28">
        <v>0</v>
      </c>
      <c r="R35" s="50"/>
      <c r="S35" s="28">
        <f t="shared" si="3"/>
        <v>-3371669.112987079</v>
      </c>
      <c r="T35" s="28"/>
      <c r="U35" s="28">
        <f t="shared" si="4"/>
        <v>36720739.96639821</v>
      </c>
    </row>
    <row r="36" spans="1:21" ht="14.25" customHeight="1">
      <c r="A36" s="7">
        <f t="shared" si="0"/>
        <v>23</v>
      </c>
      <c r="B36" s="12" t="s">
        <v>17</v>
      </c>
      <c r="C36" s="28">
        <v>86930322.61339772</v>
      </c>
      <c r="D36" s="50"/>
      <c r="E36" s="50">
        <v>0</v>
      </c>
      <c r="F36" s="28">
        <v>0</v>
      </c>
      <c r="G36" s="28">
        <v>0</v>
      </c>
      <c r="H36" s="28">
        <f>+'King Deprec'!I17</f>
        <v>-20380519.752565682</v>
      </c>
      <c r="I36" s="28">
        <v>0</v>
      </c>
      <c r="J36" s="28">
        <v>0</v>
      </c>
      <c r="K36" s="28">
        <v>0</v>
      </c>
      <c r="L36" s="28">
        <v>0</v>
      </c>
      <c r="M36" s="28">
        <f>-Aircraft!H16</f>
        <v>-17767.227</v>
      </c>
      <c r="N36" s="28">
        <v>0</v>
      </c>
      <c r="O36" s="28">
        <v>0</v>
      </c>
      <c r="P36" s="28">
        <v>0</v>
      </c>
      <c r="Q36" s="28">
        <v>0</v>
      </c>
      <c r="R36" s="50"/>
      <c r="S36" s="28">
        <f t="shared" si="3"/>
        <v>-20398286.979565684</v>
      </c>
      <c r="T36" s="28"/>
      <c r="U36" s="28">
        <f t="shared" si="4"/>
        <v>66532035.63383204</v>
      </c>
    </row>
    <row r="37" spans="1:21" ht="12.75">
      <c r="A37" s="7">
        <f t="shared" si="0"/>
        <v>24</v>
      </c>
      <c r="B37" s="12" t="s">
        <v>45</v>
      </c>
      <c r="C37" s="28">
        <v>14087627.32825</v>
      </c>
      <c r="D37" s="50"/>
      <c r="E37" s="50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50"/>
      <c r="S37" s="28">
        <f t="shared" si="3"/>
        <v>0</v>
      </c>
      <c r="T37" s="28"/>
      <c r="U37" s="28">
        <f t="shared" si="4"/>
        <v>14087627.32825</v>
      </c>
    </row>
    <row r="38" spans="1:21" ht="12.75">
      <c r="A38" s="7">
        <f t="shared" si="0"/>
        <v>25</v>
      </c>
      <c r="B38" s="12" t="s">
        <v>59</v>
      </c>
      <c r="C38" s="28">
        <v>0</v>
      </c>
      <c r="D38" s="50"/>
      <c r="E38" s="50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50"/>
      <c r="S38" s="28">
        <f t="shared" si="3"/>
        <v>0</v>
      </c>
      <c r="T38" s="28"/>
      <c r="U38" s="28">
        <f t="shared" si="4"/>
        <v>0</v>
      </c>
    </row>
    <row r="39" spans="1:21" ht="14.25" customHeight="1">
      <c r="A39" s="7">
        <f t="shared" si="0"/>
        <v>26</v>
      </c>
      <c r="B39" s="12" t="s">
        <v>47</v>
      </c>
      <c r="C39" s="28">
        <v>-833710.7585466672</v>
      </c>
      <c r="D39" s="50"/>
      <c r="E39" s="50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50"/>
      <c r="S39" s="28">
        <f t="shared" si="3"/>
        <v>0</v>
      </c>
      <c r="T39" s="28"/>
      <c r="U39" s="28">
        <f t="shared" si="4"/>
        <v>-833710.7585466672</v>
      </c>
    </row>
    <row r="40" spans="1:21" ht="14.25" customHeight="1">
      <c r="A40" s="7">
        <f t="shared" si="0"/>
        <v>27</v>
      </c>
      <c r="B40" s="2" t="s">
        <v>48</v>
      </c>
      <c r="C40" s="28">
        <v>0</v>
      </c>
      <c r="D40" s="50"/>
      <c r="E40" s="50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50"/>
      <c r="S40" s="28">
        <f t="shared" si="3"/>
        <v>0</v>
      </c>
      <c r="T40" s="28"/>
      <c r="U40" s="28">
        <f t="shared" si="4"/>
        <v>0</v>
      </c>
    </row>
    <row r="41" spans="1:21" ht="14.25" customHeight="1">
      <c r="A41" s="7">
        <f t="shared" si="0"/>
        <v>28</v>
      </c>
      <c r="B41" s="12" t="s">
        <v>49</v>
      </c>
      <c r="C41" s="28">
        <v>56517133.87585587</v>
      </c>
      <c r="D41" s="50"/>
      <c r="E41" s="50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>-'Incentive pay'!G26</f>
        <v>-212012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50"/>
      <c r="S41" s="28">
        <f t="shared" si="3"/>
        <v>-212012</v>
      </c>
      <c r="T41" s="28"/>
      <c r="U41" s="28">
        <f t="shared" si="4"/>
        <v>56305121.87585587</v>
      </c>
    </row>
    <row r="42" spans="1:21" ht="14.25" customHeight="1">
      <c r="A42" s="7">
        <f t="shared" si="0"/>
        <v>29</v>
      </c>
      <c r="B42" s="12" t="s">
        <v>50</v>
      </c>
      <c r="C42" s="28">
        <v>18290045.155015074</v>
      </c>
      <c r="D42" s="50"/>
      <c r="E42" s="50">
        <v>0</v>
      </c>
      <c r="F42" s="28">
        <f>+F18*0.3067</f>
        <v>1272912.9584</v>
      </c>
      <c r="G42" s="28">
        <f>+FIT!I39</f>
        <v>323783.4912439184</v>
      </c>
      <c r="H42" s="28">
        <f>+'King Deprec'!I21</f>
        <v>6250705.4081118945</v>
      </c>
      <c r="I42" s="28">
        <f>+'Exec Comp'!K30</f>
        <v>84022.30765357625</v>
      </c>
      <c r="J42" s="28">
        <f>+SERP!H20</f>
        <v>401735.63759223034</v>
      </c>
      <c r="K42" s="28">
        <f>+'Incentive pay'!G34</f>
        <v>963145.345</v>
      </c>
      <c r="L42" s="28">
        <f>+Shareholder!I29</f>
        <v>236100.93758175345</v>
      </c>
      <c r="M42" s="28">
        <f>+Aircraft!H22</f>
        <v>55954.80574974999</v>
      </c>
      <c r="N42" s="28">
        <f>+'Athletic Events'!H20</f>
        <v>1907.7894725499996</v>
      </c>
      <c r="O42" s="28">
        <f>+'D&amp;O'!H22</f>
        <v>13873.75871622711</v>
      </c>
      <c r="P42" s="28">
        <f>+'Airport Parking'!H20</f>
        <v>2302.4087079499996</v>
      </c>
      <c r="Q42" s="28">
        <f>+'Int. Sync'!I28</f>
        <v>-1615533.1213524668</v>
      </c>
      <c r="R42" s="50"/>
      <c r="S42" s="28">
        <f t="shared" si="3"/>
        <v>7990911.726877383</v>
      </c>
      <c r="T42" s="28"/>
      <c r="U42" s="28">
        <f t="shared" si="4"/>
        <v>26280956.881892458</v>
      </c>
    </row>
    <row r="43" spans="1:21" ht="14.25" customHeight="1">
      <c r="A43" s="7">
        <f t="shared" si="0"/>
        <v>30</v>
      </c>
      <c r="B43" s="2" t="s">
        <v>51</v>
      </c>
      <c r="C43" s="49">
        <v>3975421.168999995</v>
      </c>
      <c r="D43" s="50"/>
      <c r="E43" s="50">
        <v>0</v>
      </c>
      <c r="F43" s="49">
        <v>0</v>
      </c>
      <c r="G43" s="49">
        <v>0</v>
      </c>
      <c r="H43" s="49"/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50"/>
      <c r="S43" s="49">
        <f t="shared" si="3"/>
        <v>0</v>
      </c>
      <c r="T43" s="49"/>
      <c r="U43" s="49">
        <f t="shared" si="4"/>
        <v>3975421.168999995</v>
      </c>
    </row>
    <row r="44" spans="1:21" ht="14.25" customHeight="1">
      <c r="A44" s="7">
        <f t="shared" si="0"/>
        <v>31</v>
      </c>
      <c r="B44" s="12" t="s">
        <v>52</v>
      </c>
      <c r="C44" s="207">
        <f>SUM(C29:C43)</f>
        <v>291293007.7636123</v>
      </c>
      <c r="D44" s="36"/>
      <c r="E44" s="208">
        <f aca="true" t="shared" si="5" ref="E44:U44">SUM(E29:E43)</f>
        <v>0</v>
      </c>
      <c r="F44" s="208">
        <f t="shared" si="5"/>
        <v>1272912.9584</v>
      </c>
      <c r="G44" s="208">
        <f>SUM(G29:G43)</f>
        <v>323783.4912439184</v>
      </c>
      <c r="H44" s="208">
        <f t="shared" si="5"/>
        <v>-14129814.344453787</v>
      </c>
      <c r="I44" s="208">
        <f>SUM(I29:I43)</f>
        <v>-189933.70034634636</v>
      </c>
      <c r="J44" s="208">
        <f>SUM(J29:J43)</f>
        <v>-908129.499650125</v>
      </c>
      <c r="K44" s="208">
        <f>SUM(K29:K43)</f>
        <v>-2177204.6550000003</v>
      </c>
      <c r="L44" s="208">
        <f>SUM(L29:L43)</f>
        <v>-533709.7490232465</v>
      </c>
      <c r="M44" s="208">
        <f t="shared" si="5"/>
        <v>-126486.68675025</v>
      </c>
      <c r="N44" s="208">
        <f>SUM(N29:N43)</f>
        <v>-4312.587027449999</v>
      </c>
      <c r="O44" s="208">
        <f>SUM(O29:O43)</f>
        <v>-31361.841923574364</v>
      </c>
      <c r="P44" s="208">
        <f t="shared" si="5"/>
        <v>-5204.62979205</v>
      </c>
      <c r="Q44" s="208">
        <f t="shared" si="5"/>
        <v>-1615533.1213524668</v>
      </c>
      <c r="R44" s="36"/>
      <c r="S44" s="208">
        <f t="shared" si="5"/>
        <v>-18124994.36567538</v>
      </c>
      <c r="T44" s="207"/>
      <c r="U44" s="208">
        <f t="shared" si="5"/>
        <v>273168013.3979369</v>
      </c>
    </row>
    <row r="45" spans="1:21" ht="14.25" customHeight="1">
      <c r="A45" s="7">
        <f t="shared" si="0"/>
        <v>32</v>
      </c>
      <c r="C45" s="47" t="s">
        <v>0</v>
      </c>
      <c r="D45" s="17"/>
      <c r="E45" s="47" t="s">
        <v>0</v>
      </c>
      <c r="F45" s="47" t="s">
        <v>0</v>
      </c>
      <c r="G45" s="47"/>
      <c r="H45" s="47" t="s">
        <v>0</v>
      </c>
      <c r="I45" s="47" t="s">
        <v>0</v>
      </c>
      <c r="J45" s="47" t="s">
        <v>0</v>
      </c>
      <c r="K45" s="47" t="s">
        <v>0</v>
      </c>
      <c r="L45" s="47" t="s">
        <v>0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17"/>
      <c r="S45" s="47" t="s">
        <v>0</v>
      </c>
      <c r="T45" s="47"/>
      <c r="U45" s="47" t="s">
        <v>0</v>
      </c>
    </row>
    <row r="46" spans="1:21" ht="14.25" customHeight="1">
      <c r="A46" s="7">
        <f t="shared" si="0"/>
        <v>33</v>
      </c>
      <c r="B46" s="12" t="s">
        <v>53</v>
      </c>
      <c r="C46" s="43">
        <f>C18-C27-C44</f>
        <v>79922610.77932787</v>
      </c>
      <c r="D46" s="48"/>
      <c r="E46" s="209">
        <f aca="true" t="shared" si="6" ref="E46:Q46">E18-E27-E44</f>
        <v>0</v>
      </c>
      <c r="F46" s="209">
        <f>F18-F27-F44</f>
        <v>2877439.0416</v>
      </c>
      <c r="G46" s="209">
        <f t="shared" si="6"/>
        <v>-323783.4912439184</v>
      </c>
      <c r="H46" s="209">
        <f t="shared" si="6"/>
        <v>14129814.344453787</v>
      </c>
      <c r="I46" s="209">
        <f t="shared" si="6"/>
        <v>189933.70034634636</v>
      </c>
      <c r="J46" s="209">
        <f t="shared" si="6"/>
        <v>908129.499650125</v>
      </c>
      <c r="K46" s="209">
        <f t="shared" si="6"/>
        <v>2177204.6550000003</v>
      </c>
      <c r="L46" s="209">
        <f t="shared" si="6"/>
        <v>533709.7490232465</v>
      </c>
      <c r="M46" s="209">
        <f t="shared" si="6"/>
        <v>126486.68675025</v>
      </c>
      <c r="N46" s="209">
        <f t="shared" si="6"/>
        <v>4312.587027449999</v>
      </c>
      <c r="O46" s="209">
        <f t="shared" si="6"/>
        <v>31361.841923574364</v>
      </c>
      <c r="P46" s="209">
        <f t="shared" si="6"/>
        <v>5204.62979205</v>
      </c>
      <c r="Q46" s="209">
        <f t="shared" si="6"/>
        <v>1615533.1213524668</v>
      </c>
      <c r="R46" s="48"/>
      <c r="S46" s="209">
        <f>S18-S27-S44</f>
        <v>22275346.36567538</v>
      </c>
      <c r="T46" s="43"/>
      <c r="U46" s="209">
        <f>U18-U27-U44</f>
        <v>102197957.14500326</v>
      </c>
    </row>
    <row r="47" spans="1:21" ht="12.75" customHeight="1">
      <c r="A47" s="7">
        <f t="shared" si="0"/>
        <v>34</v>
      </c>
      <c r="B47" s="12"/>
      <c r="C47" s="40"/>
      <c r="D47" s="41"/>
      <c r="E47" s="41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1"/>
      <c r="S47" s="40"/>
      <c r="T47" s="40"/>
      <c r="U47" s="40"/>
    </row>
    <row r="48" spans="1:21" ht="12.75" customHeight="1">
      <c r="A48" s="7">
        <f t="shared" si="0"/>
        <v>35</v>
      </c>
      <c r="B48" s="12" t="s">
        <v>54</v>
      </c>
      <c r="C48" s="47">
        <v>1349251535.6161761</v>
      </c>
      <c r="D48" s="17"/>
      <c r="E48" s="17">
        <f>+COR!J20</f>
        <v>0</v>
      </c>
      <c r="F48" s="47">
        <v>0</v>
      </c>
      <c r="G48" s="47">
        <v>0</v>
      </c>
      <c r="H48" s="47">
        <f>+'King Deprec'!I34</f>
        <v>10190259.876282841</v>
      </c>
      <c r="I48" s="47">
        <v>0</v>
      </c>
      <c r="J48" s="47">
        <v>0</v>
      </c>
      <c r="K48" s="47">
        <v>0</v>
      </c>
      <c r="L48" s="47">
        <v>0</v>
      </c>
      <c r="M48" s="47">
        <f>+Aircraft!H33</f>
        <v>272721.463</v>
      </c>
      <c r="N48" s="47">
        <v>0</v>
      </c>
      <c r="O48" s="47">
        <v>0</v>
      </c>
      <c r="P48" s="47">
        <v>0</v>
      </c>
      <c r="Q48" s="47">
        <v>0</v>
      </c>
      <c r="R48" s="17"/>
      <c r="S48" s="47">
        <f>SUM(F48:Q48)</f>
        <v>10462981.33928284</v>
      </c>
      <c r="T48" s="47"/>
      <c r="U48" s="47">
        <f>+S48+C48</f>
        <v>1359714516.9554589</v>
      </c>
    </row>
    <row r="49" ht="12.75" customHeight="1">
      <c r="A49" s="7">
        <f t="shared" si="0"/>
        <v>36</v>
      </c>
    </row>
    <row r="50" spans="1:21" ht="12.75" customHeight="1">
      <c r="A50" s="7">
        <f t="shared" si="0"/>
        <v>37</v>
      </c>
      <c r="B50" s="12" t="s">
        <v>61</v>
      </c>
      <c r="C50" s="29">
        <v>0.086</v>
      </c>
      <c r="D50" s="37"/>
      <c r="E50" s="37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7"/>
      <c r="S50" s="29"/>
      <c r="T50" s="29"/>
      <c r="U50" s="29"/>
    </row>
    <row r="51" spans="1:21" ht="12.75" customHeight="1">
      <c r="A51" s="7">
        <f t="shared" si="0"/>
        <v>38</v>
      </c>
      <c r="C51" s="58"/>
      <c r="D51" s="72"/>
      <c r="E51" s="72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72"/>
      <c r="S51" s="58"/>
      <c r="T51" s="58"/>
      <c r="U51" s="58"/>
    </row>
    <row r="52" spans="1:21" ht="15" customHeight="1">
      <c r="A52" s="7">
        <f aca="true" t="shared" si="7" ref="A52:A58">A51+1</f>
        <v>39</v>
      </c>
      <c r="B52" s="2" t="s">
        <v>303</v>
      </c>
      <c r="C52" s="29">
        <v>0.0786</v>
      </c>
      <c r="D52" s="37"/>
      <c r="E52" s="29">
        <f>+$C$52</f>
        <v>0.0786</v>
      </c>
      <c r="F52" s="29">
        <f aca="true" t="shared" si="8" ref="F52:Q52">+$C$52</f>
        <v>0.0786</v>
      </c>
      <c r="G52" s="29">
        <f t="shared" si="8"/>
        <v>0.0786</v>
      </c>
      <c r="H52" s="29">
        <f t="shared" si="8"/>
        <v>0.0786</v>
      </c>
      <c r="I52" s="29">
        <f t="shared" si="8"/>
        <v>0.0786</v>
      </c>
      <c r="J52" s="29">
        <f t="shared" si="8"/>
        <v>0.0786</v>
      </c>
      <c r="K52" s="29">
        <f t="shared" si="8"/>
        <v>0.0786</v>
      </c>
      <c r="L52" s="29">
        <f t="shared" si="8"/>
        <v>0.0786</v>
      </c>
      <c r="M52" s="29">
        <f t="shared" si="8"/>
        <v>0.0786</v>
      </c>
      <c r="N52" s="29">
        <f t="shared" si="8"/>
        <v>0.0786</v>
      </c>
      <c r="O52" s="29">
        <f t="shared" si="8"/>
        <v>0.0786</v>
      </c>
      <c r="P52" s="29">
        <f t="shared" si="8"/>
        <v>0.0786</v>
      </c>
      <c r="Q52" s="29">
        <f t="shared" si="8"/>
        <v>0.0786</v>
      </c>
      <c r="R52" s="37"/>
      <c r="S52" s="29"/>
      <c r="T52" s="29"/>
      <c r="U52" s="29"/>
    </row>
    <row r="53" spans="1:21" ht="15" customHeight="1">
      <c r="A53" s="7">
        <f t="shared" si="7"/>
        <v>40</v>
      </c>
      <c r="C53" s="203"/>
      <c r="D53" s="3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7"/>
      <c r="S53" s="203"/>
      <c r="T53" s="29"/>
      <c r="U53" s="29"/>
    </row>
    <row r="54" spans="1:21" ht="15" customHeight="1">
      <c r="A54" s="7">
        <f t="shared" si="7"/>
        <v>41</v>
      </c>
      <c r="B54" s="2" t="s">
        <v>304</v>
      </c>
      <c r="C54" s="39">
        <f>C48*(C52-C50)</f>
        <v>-9984461.36355969</v>
      </c>
      <c r="D54" s="37"/>
      <c r="E54" s="39">
        <f aca="true" t="shared" si="9" ref="E54:Q54">E52*E48</f>
        <v>0</v>
      </c>
      <c r="F54" s="39">
        <f t="shared" si="9"/>
        <v>0</v>
      </c>
      <c r="G54" s="39">
        <f t="shared" si="9"/>
        <v>0</v>
      </c>
      <c r="H54" s="39">
        <f t="shared" si="9"/>
        <v>800954.4262758313</v>
      </c>
      <c r="I54" s="39">
        <f t="shared" si="9"/>
        <v>0</v>
      </c>
      <c r="J54" s="39">
        <f t="shared" si="9"/>
        <v>0</v>
      </c>
      <c r="K54" s="39">
        <f t="shared" si="9"/>
        <v>0</v>
      </c>
      <c r="L54" s="39">
        <f t="shared" si="9"/>
        <v>0</v>
      </c>
      <c r="M54" s="39">
        <f t="shared" si="9"/>
        <v>21435.9069918</v>
      </c>
      <c r="N54" s="39">
        <f t="shared" si="9"/>
        <v>0</v>
      </c>
      <c r="O54" s="39">
        <f t="shared" si="9"/>
        <v>0</v>
      </c>
      <c r="P54" s="39">
        <f t="shared" si="9"/>
        <v>0</v>
      </c>
      <c r="Q54" s="39">
        <f t="shared" si="9"/>
        <v>0</v>
      </c>
      <c r="R54" s="37"/>
      <c r="S54" s="47">
        <f>SUM(C54:Q54)</f>
        <v>-9162071.030292058</v>
      </c>
      <c r="T54" s="29"/>
      <c r="U54" s="29"/>
    </row>
    <row r="55" spans="1:21" ht="15" customHeight="1">
      <c r="A55" s="7">
        <f t="shared" si="7"/>
        <v>42</v>
      </c>
      <c r="C55" s="29"/>
      <c r="D55" s="37"/>
      <c r="E55" s="37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7"/>
      <c r="S55" s="29"/>
      <c r="T55" s="29"/>
      <c r="U55" s="29"/>
    </row>
    <row r="56" spans="1:21" ht="15" customHeight="1">
      <c r="A56" s="7">
        <f t="shared" si="7"/>
        <v>43</v>
      </c>
      <c r="B56" s="2" t="s">
        <v>212</v>
      </c>
      <c r="C56" s="200">
        <f>'Conversion Factor'!$G$40</f>
        <v>1.50749</v>
      </c>
      <c r="D56" s="37"/>
      <c r="E56" s="200">
        <f>'Conversion Factor'!$G$40</f>
        <v>1.50749</v>
      </c>
      <c r="F56" s="200">
        <f>'Conversion Factor'!$G$40</f>
        <v>1.50749</v>
      </c>
      <c r="G56" s="200">
        <f>'Conversion Factor'!$G$40</f>
        <v>1.50749</v>
      </c>
      <c r="H56" s="200">
        <f>'Conversion Factor'!$G$40</f>
        <v>1.50749</v>
      </c>
      <c r="I56" s="200">
        <f>'Conversion Factor'!$G$40</f>
        <v>1.50749</v>
      </c>
      <c r="J56" s="200">
        <f>'Conversion Factor'!$G$40</f>
        <v>1.50749</v>
      </c>
      <c r="K56" s="200">
        <f>'Conversion Factor'!$G$40</f>
        <v>1.50749</v>
      </c>
      <c r="L56" s="200">
        <f>'Conversion Factor'!$G$40</f>
        <v>1.50749</v>
      </c>
      <c r="M56" s="200">
        <f>'Conversion Factor'!$G$40</f>
        <v>1.50749</v>
      </c>
      <c r="N56" s="200">
        <f>'Conversion Factor'!$G$40</f>
        <v>1.50749</v>
      </c>
      <c r="O56" s="200">
        <f>'Conversion Factor'!$G$40</f>
        <v>1.50749</v>
      </c>
      <c r="P56" s="200">
        <f>'Conversion Factor'!$G$40</f>
        <v>1.50749</v>
      </c>
      <c r="Q56" s="200">
        <f>'Conversion Factor'!$G$40</f>
        <v>1.50749</v>
      </c>
      <c r="R56" s="286"/>
      <c r="S56" s="200"/>
      <c r="T56" s="286"/>
      <c r="U56" s="200"/>
    </row>
    <row r="57" spans="1:21" ht="15" customHeight="1">
      <c r="A57" s="7">
        <f t="shared" si="7"/>
        <v>44</v>
      </c>
      <c r="C57" s="29"/>
      <c r="D57" s="37"/>
      <c r="E57" s="3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7"/>
      <c r="S57" s="29"/>
      <c r="T57" s="29"/>
      <c r="U57" s="29"/>
    </row>
    <row r="58" spans="1:21" ht="15" customHeight="1">
      <c r="A58" s="7">
        <f t="shared" si="7"/>
        <v>45</v>
      </c>
      <c r="B58" s="2" t="s">
        <v>62</v>
      </c>
      <c r="C58" s="197">
        <f>+C54*C56</f>
        <v>-15051475.660952596</v>
      </c>
      <c r="D58" s="37"/>
      <c r="E58" s="202">
        <f aca="true" t="shared" si="10" ref="E58:Q58">+(-E46+E54)*E56</f>
        <v>0</v>
      </c>
      <c r="F58" s="202">
        <f>+(-F46+F54)*F56</f>
        <v>-4337710.580821584</v>
      </c>
      <c r="G58" s="202">
        <f t="shared" si="10"/>
        <v>488100.3752152946</v>
      </c>
      <c r="H58" s="202">
        <f t="shared" si="10"/>
        <v>-20093123.038054086</v>
      </c>
      <c r="I58" s="202">
        <f t="shared" si="10"/>
        <v>-286323.1539351137</v>
      </c>
      <c r="J58" s="202">
        <f t="shared" si="10"/>
        <v>-1368996.139427567</v>
      </c>
      <c r="K58" s="202">
        <f t="shared" si="10"/>
        <v>-3282114.2453659503</v>
      </c>
      <c r="L58" s="202">
        <f t="shared" si="10"/>
        <v>-804562.1095550538</v>
      </c>
      <c r="M58" s="202">
        <f t="shared" si="10"/>
        <v>-158362.99997806578</v>
      </c>
      <c r="N58" s="202">
        <f t="shared" si="10"/>
        <v>-6501.181818010599</v>
      </c>
      <c r="O58" s="202">
        <f t="shared" si="10"/>
        <v>-47277.663081369115</v>
      </c>
      <c r="P58" s="202">
        <f t="shared" si="10"/>
        <v>-7845.927365217454</v>
      </c>
      <c r="Q58" s="202">
        <f t="shared" si="10"/>
        <v>-2435400.02510763</v>
      </c>
      <c r="R58" s="287"/>
      <c r="S58" s="202">
        <f>SUM(C58:Q58)</f>
        <v>-47391592.35024694</v>
      </c>
      <c r="T58" s="289"/>
      <c r="U58" s="202"/>
    </row>
    <row r="59" spans="1:21" ht="12.75" customHeight="1">
      <c r="A59" s="7"/>
      <c r="C59" s="58"/>
      <c r="D59" s="72"/>
      <c r="E59" s="72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72"/>
      <c r="S59" s="58"/>
      <c r="T59" s="58"/>
      <c r="U59" s="58"/>
    </row>
    <row r="60" spans="1:21" ht="12.75" customHeight="1">
      <c r="A60" s="7"/>
      <c r="C60" s="58"/>
      <c r="D60" s="72"/>
      <c r="E60" s="72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72"/>
      <c r="S60" s="58"/>
      <c r="T60" s="58"/>
      <c r="U60" s="58"/>
    </row>
    <row r="61" spans="1:21" ht="12.75" customHeight="1">
      <c r="A61" s="7"/>
      <c r="C61" s="58"/>
      <c r="D61" s="72"/>
      <c r="E61" s="72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72"/>
      <c r="S61" s="58"/>
      <c r="T61" s="58"/>
      <c r="U61" s="58"/>
    </row>
    <row r="62" ht="12.75" customHeight="1">
      <c r="S62" s="285"/>
    </row>
    <row r="64" ht="12.75" customHeight="1">
      <c r="A64" s="14"/>
    </row>
    <row r="65" ht="12.75" customHeight="1">
      <c r="A65" s="14"/>
    </row>
    <row r="66" ht="12.75" customHeight="1">
      <c r="A66" s="14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2.75" customHeight="1">
      <c r="A73" s="14"/>
    </row>
    <row r="74" ht="12.75" customHeight="1">
      <c r="A74" s="14"/>
    </row>
    <row r="75" ht="12.75" customHeight="1">
      <c r="A75" s="14"/>
    </row>
  </sheetData>
  <sheetProtection/>
  <mergeCells count="7">
    <mergeCell ref="A5:C5"/>
    <mergeCell ref="E8:N8"/>
    <mergeCell ref="O8:Q8"/>
    <mergeCell ref="A1:C1"/>
    <mergeCell ref="A2:C2"/>
    <mergeCell ref="A3:C3"/>
    <mergeCell ref="A4:C4"/>
  </mergeCells>
  <printOptions horizontalCentered="1"/>
  <pageMargins left="0.5" right="0.5" top="0.57" bottom="0.5" header="0.25" footer="0.25"/>
  <pageSetup firstPageNumber="1" useFirstPageNumber="1" fitToWidth="0" horizontalDpi="1200" verticalDpi="1200" orientation="landscape" scale="65" r:id="rId2"/>
  <headerFooter alignWithMargins="0">
    <oddHeader>&amp;R&amp;"Times New Roman,Regular"&amp;10Exhibit No.___(MJM-4)
Schedule 2(G)
Page &amp;P of 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view="pageLayout" workbookViewId="0" topLeftCell="C7">
      <selection activeCell="H18" sqref="H18"/>
    </sheetView>
  </sheetViews>
  <sheetFormatPr defaultColWidth="10.66015625" defaultRowHeight="10.5"/>
  <cols>
    <col min="1" max="1" width="6.33203125" style="93" customWidth="1"/>
    <col min="2" max="2" width="71.83203125" style="93" customWidth="1"/>
    <col min="3" max="3" width="4" style="93" customWidth="1"/>
    <col min="4" max="4" width="9.16015625" style="93" customWidth="1"/>
    <col min="5" max="5" width="21.16015625" style="93" customWidth="1"/>
    <col min="6" max="6" width="11" style="93" customWidth="1"/>
    <col min="7" max="7" width="21.16015625" style="93" customWidth="1"/>
    <col min="8" max="16384" width="10.66015625" style="93" customWidth="1"/>
  </cols>
  <sheetData>
    <row r="1" spans="1:7" s="234" customFormat="1" ht="12.75">
      <c r="A1" s="297" t="s">
        <v>73</v>
      </c>
      <c r="B1" s="297"/>
      <c r="C1" s="297"/>
      <c r="D1" s="297"/>
      <c r="E1" s="297"/>
      <c r="F1" s="297"/>
      <c r="G1" s="297"/>
    </row>
    <row r="2" spans="1:7" s="234" customFormat="1" ht="12.75">
      <c r="A2" s="297" t="s">
        <v>5</v>
      </c>
      <c r="B2" s="297"/>
      <c r="C2" s="297"/>
      <c r="D2" s="297"/>
      <c r="E2" s="297"/>
      <c r="F2" s="297"/>
      <c r="G2" s="297"/>
    </row>
    <row r="3" spans="1:7" s="234" customFormat="1" ht="12.75">
      <c r="A3" s="297" t="s">
        <v>6</v>
      </c>
      <c r="B3" s="297"/>
      <c r="C3" s="297"/>
      <c r="D3" s="297"/>
      <c r="E3" s="297"/>
      <c r="F3" s="297"/>
      <c r="G3" s="297"/>
    </row>
    <row r="4" spans="1:7" s="234" customFormat="1" ht="12.75">
      <c r="A4" s="297" t="s">
        <v>8</v>
      </c>
      <c r="B4" s="297"/>
      <c r="C4" s="297"/>
      <c r="D4" s="297"/>
      <c r="E4" s="297"/>
      <c r="F4" s="297"/>
      <c r="G4" s="297"/>
    </row>
    <row r="5" spans="1:7" ht="12.75">
      <c r="A5" s="1"/>
      <c r="B5" s="1"/>
      <c r="C5" s="1"/>
      <c r="D5" s="1"/>
      <c r="E5" s="1"/>
      <c r="G5" s="1"/>
    </row>
    <row r="8" spans="5:7" ht="12.75">
      <c r="E8" s="299" t="s">
        <v>85</v>
      </c>
      <c r="F8" s="299"/>
      <c r="G8" s="299"/>
    </row>
    <row r="9" spans="1:7" ht="12.75">
      <c r="A9" s="6" t="s">
        <v>9</v>
      </c>
      <c r="B9" s="1"/>
      <c r="C9" s="1"/>
      <c r="D9" s="1"/>
      <c r="E9" s="6" t="s">
        <v>60</v>
      </c>
      <c r="F9" s="94"/>
      <c r="G9" s="6" t="s">
        <v>239</v>
      </c>
    </row>
    <row r="10" spans="1:7" ht="12.75">
      <c r="A10" s="9" t="s">
        <v>11</v>
      </c>
      <c r="B10" s="10" t="s">
        <v>12</v>
      </c>
      <c r="C10" s="8"/>
      <c r="D10" s="8"/>
      <c r="E10" s="9" t="s">
        <v>14</v>
      </c>
      <c r="F10" s="94"/>
      <c r="G10" s="9" t="s">
        <v>14</v>
      </c>
    </row>
    <row r="11" spans="1:7" ht="12.75">
      <c r="A11" s="2"/>
      <c r="B11" s="2"/>
      <c r="C11" s="2"/>
      <c r="D11" s="2"/>
      <c r="E11" s="7"/>
      <c r="G11" s="7"/>
    </row>
    <row r="12" spans="1:7" ht="13.5">
      <c r="A12" s="7">
        <v>1</v>
      </c>
      <c r="B12" s="12" t="s">
        <v>4</v>
      </c>
      <c r="C12" s="2"/>
      <c r="D12" s="2"/>
      <c r="E12" s="22">
        <v>0.0035024276666666665</v>
      </c>
      <c r="G12" s="22">
        <v>0.0035024276666666665</v>
      </c>
    </row>
    <row r="13" spans="1:7" ht="12.75">
      <c r="A13" s="7">
        <v>2</v>
      </c>
      <c r="B13" s="12" t="s">
        <v>22</v>
      </c>
      <c r="C13" s="2"/>
      <c r="D13" s="2"/>
      <c r="E13" s="23">
        <v>0.002</v>
      </c>
      <c r="G13" s="23">
        <v>0.002</v>
      </c>
    </row>
    <row r="14" spans="1:7" ht="13.5">
      <c r="A14" s="7">
        <v>3</v>
      </c>
      <c r="B14" s="12" t="str">
        <f>"STATE UTILITY TAX ( "&amp;D14*100&amp;"% - ( LINE 1 * "&amp;D14*100&amp;"% )  )"</f>
        <v>STATE UTILITY TAX ( 3.873% - ( LINE 1 * 3.873% )  )</v>
      </c>
      <c r="C14" s="2"/>
      <c r="D14" s="16">
        <v>0.03873</v>
      </c>
      <c r="E14" s="25">
        <f>ROUND($D14-($D14*E12),7)</f>
        <v>0.0385944</v>
      </c>
      <c r="G14" s="25">
        <f>ROUND($D14-($D14*G12),7)</f>
        <v>0.0385944</v>
      </c>
    </row>
    <row r="15" spans="1:7" ht="12.75">
      <c r="A15" s="7">
        <v>4</v>
      </c>
      <c r="B15" s="12"/>
      <c r="C15" s="2"/>
      <c r="D15" s="2"/>
      <c r="E15" s="26"/>
      <c r="G15" s="26"/>
    </row>
    <row r="16" spans="1:7" ht="13.5">
      <c r="A16" s="7">
        <v>5</v>
      </c>
      <c r="B16" s="12" t="s">
        <v>25</v>
      </c>
      <c r="C16" s="2"/>
      <c r="D16" s="2"/>
      <c r="E16" s="22">
        <f>ROUND(SUM(E12:E14),7)</f>
        <v>0.0440968</v>
      </c>
      <c r="G16" s="22">
        <f>ROUND(SUM(G12:G14),7)</f>
        <v>0.0440968</v>
      </c>
    </row>
    <row r="17" spans="1:7" ht="12.75">
      <c r="A17" s="7">
        <v>6</v>
      </c>
      <c r="B17" s="2"/>
      <c r="C17" s="2"/>
      <c r="D17" s="2"/>
      <c r="E17" s="23"/>
      <c r="G17" s="23"/>
    </row>
    <row r="18" spans="1:7" ht="13.5">
      <c r="A18" s="7">
        <v>7</v>
      </c>
      <c r="B18" s="2" t="s">
        <v>83</v>
      </c>
      <c r="C18" s="2"/>
      <c r="D18" s="2"/>
      <c r="E18" s="22">
        <f>ROUND(1-E16,7)</f>
        <v>0.9559032</v>
      </c>
      <c r="G18" s="22">
        <f>ROUND(1-G16,7)</f>
        <v>0.9559032</v>
      </c>
    </row>
    <row r="19" spans="1:7" ht="12.75">
      <c r="A19" s="7">
        <v>8</v>
      </c>
      <c r="B19" s="12" t="s">
        <v>84</v>
      </c>
      <c r="C19" s="2"/>
      <c r="D19" s="30">
        <v>0.35</v>
      </c>
      <c r="E19" s="23">
        <f>ROUND((E18)*$D19,7)</f>
        <v>0.3345661</v>
      </c>
      <c r="F19" s="190">
        <v>0.3067</v>
      </c>
      <c r="G19" s="23">
        <f>ROUND((G18)*$F19,7)</f>
        <v>0.2931755</v>
      </c>
    </row>
    <row r="20" spans="1:7" ht="13.5">
      <c r="A20" s="7">
        <v>9</v>
      </c>
      <c r="B20" s="12" t="str">
        <f>"CONVERSION FACTOR INCL FEDERAL INCOME TAX ( LINE "&amp;A18&amp;" + LINE "&amp;A19&amp;" ) "</f>
        <v>CONVERSION FACTOR INCL FEDERAL INCOME TAX ( LINE 7 + LINE 8 ) </v>
      </c>
      <c r="C20" s="2"/>
      <c r="D20" s="2"/>
      <c r="E20" s="34">
        <f>ROUND(1-E19-E16,7)</f>
        <v>0.6213371</v>
      </c>
      <c r="G20" s="34">
        <f>ROUND(1-G19-G16,7)</f>
        <v>0.6627277</v>
      </c>
    </row>
    <row r="21" spans="1:7" ht="12.75">
      <c r="A21" s="7">
        <v>10</v>
      </c>
      <c r="B21" s="2"/>
      <c r="C21" s="2"/>
      <c r="D21" s="2"/>
      <c r="E21" s="7"/>
      <c r="G21" s="7"/>
    </row>
    <row r="22" spans="1:7" ht="13.5">
      <c r="A22" s="7">
        <v>11</v>
      </c>
      <c r="B22" s="2" t="s">
        <v>87</v>
      </c>
      <c r="C22" s="2"/>
      <c r="D22" s="2"/>
      <c r="E22" s="34">
        <f>ROUND(1/E20,7)</f>
        <v>1.6094323</v>
      </c>
      <c r="G22" s="34">
        <f>ROUND(1/G20,7)</f>
        <v>1.5089154</v>
      </c>
    </row>
    <row r="23" spans="1:7" ht="12.75">
      <c r="A23" s="2"/>
      <c r="B23" s="2"/>
      <c r="C23" s="2"/>
      <c r="D23" s="2"/>
      <c r="E23" s="7"/>
      <c r="G23" s="7"/>
    </row>
    <row r="25" spans="1:5" s="95" customFormat="1" ht="12.75">
      <c r="A25" s="92"/>
      <c r="B25" s="92"/>
      <c r="C25" s="92"/>
      <c r="D25" s="92"/>
      <c r="E25" s="92"/>
    </row>
    <row r="26" spans="5:7" ht="12.75">
      <c r="E26" s="299" t="s">
        <v>86</v>
      </c>
      <c r="F26" s="299"/>
      <c r="G26" s="299"/>
    </row>
    <row r="27" spans="5:7" ht="12.75">
      <c r="E27" s="6" t="s">
        <v>60</v>
      </c>
      <c r="F27" s="94"/>
      <c r="G27" s="6" t="s">
        <v>239</v>
      </c>
    </row>
    <row r="28" spans="5:7" ht="12.75">
      <c r="E28" s="9" t="s">
        <v>14</v>
      </c>
      <c r="F28" s="94"/>
      <c r="G28" s="9" t="s">
        <v>14</v>
      </c>
    </row>
    <row r="29" spans="5:7" ht="12.75">
      <c r="E29" s="3"/>
      <c r="F29" s="94"/>
      <c r="G29" s="3"/>
    </row>
    <row r="30" spans="1:7" ht="13.5">
      <c r="A30" s="7">
        <v>12</v>
      </c>
      <c r="B30" s="12" t="s">
        <v>4</v>
      </c>
      <c r="C30" s="2"/>
      <c r="D30" s="2"/>
      <c r="E30" s="257">
        <v>0.00278008</v>
      </c>
      <c r="G30" s="22">
        <v>0.00278008</v>
      </c>
    </row>
    <row r="31" spans="1:7" ht="12.75">
      <c r="A31" s="7">
        <v>13</v>
      </c>
      <c r="B31" s="12" t="s">
        <v>22</v>
      </c>
      <c r="C31" s="2"/>
      <c r="D31" s="2"/>
      <c r="E31" s="258">
        <v>0.002</v>
      </c>
      <c r="G31" s="23">
        <v>0.002</v>
      </c>
    </row>
    <row r="32" spans="1:7" ht="13.5">
      <c r="A32" s="7">
        <v>12</v>
      </c>
      <c r="B32" s="12" t="str">
        <f>"STATE UTILITY TAX ( "&amp;D32*100&amp;"% - ( LINE 12 * "&amp;D32*100&amp;"% )  )"</f>
        <v>STATE UTILITY TAX ( 3.852% - ( LINE 12 * 3.852% )  )</v>
      </c>
      <c r="C32" s="2"/>
      <c r="D32" s="16">
        <v>0.03852</v>
      </c>
      <c r="E32" s="259">
        <f>ROUND($D32-($D32*E30),5)</f>
        <v>0.03841</v>
      </c>
      <c r="G32" s="25">
        <f>ROUND($D32-($D32*G30),7)</f>
        <v>0.0384129</v>
      </c>
    </row>
    <row r="33" spans="1:7" ht="12.75">
      <c r="A33" s="7">
        <v>13</v>
      </c>
      <c r="B33" s="12"/>
      <c r="C33" s="2"/>
      <c r="D33" s="2"/>
      <c r="E33" s="260"/>
      <c r="G33" s="26"/>
    </row>
    <row r="34" spans="1:7" ht="13.5">
      <c r="A34" s="7">
        <v>14</v>
      </c>
      <c r="B34" s="12" t="s">
        <v>25</v>
      </c>
      <c r="C34" s="2"/>
      <c r="D34" s="2"/>
      <c r="E34" s="257">
        <f>ROUND(SUM(E30:E32),5)</f>
        <v>0.04319</v>
      </c>
      <c r="G34" s="22">
        <f>ROUND(SUM(G30:G32),7)</f>
        <v>0.043193</v>
      </c>
    </row>
    <row r="35" spans="1:7" ht="12.75">
      <c r="A35" s="7">
        <v>15</v>
      </c>
      <c r="B35" s="2"/>
      <c r="C35" s="2"/>
      <c r="D35" s="2"/>
      <c r="E35" s="258"/>
      <c r="G35" s="23"/>
    </row>
    <row r="36" spans="1:7" ht="13.5">
      <c r="A36" s="7">
        <v>16</v>
      </c>
      <c r="B36" s="2" t="s">
        <v>88</v>
      </c>
      <c r="C36" s="2"/>
      <c r="D36" s="2"/>
      <c r="E36" s="257">
        <f>ROUND(1-E34,5)</f>
        <v>0.95681</v>
      </c>
      <c r="G36" s="22">
        <f>ROUND(1-G34,7)</f>
        <v>0.956807</v>
      </c>
    </row>
    <row r="37" spans="1:7" ht="12.75">
      <c r="A37" s="7">
        <v>17</v>
      </c>
      <c r="B37" s="12" t="s">
        <v>89</v>
      </c>
      <c r="C37" s="2"/>
      <c r="D37" s="30">
        <v>0.35</v>
      </c>
      <c r="E37" s="258">
        <f>ROUND((E36)*$D37,5)</f>
        <v>0.33488</v>
      </c>
      <c r="F37" s="190">
        <v>0.3067</v>
      </c>
      <c r="G37" s="23">
        <f>ROUND((G36)*$F37,7)</f>
        <v>0.2934527</v>
      </c>
    </row>
    <row r="38" spans="1:7" ht="13.5">
      <c r="A38" s="7">
        <v>18</v>
      </c>
      <c r="B38" s="12" t="str">
        <f>"CONVERSION FACTOR INCL FEDERAL INCOME TAX ( LINE "&amp;A36&amp;" + LINE "&amp;A37&amp;" ) "</f>
        <v>CONVERSION FACTOR INCL FEDERAL INCOME TAX ( LINE 16 + LINE 17 ) </v>
      </c>
      <c r="C38" s="2"/>
      <c r="D38" s="2"/>
      <c r="E38" s="261">
        <f>ROUND(1-E37-E34,5)</f>
        <v>0.62193</v>
      </c>
      <c r="G38" s="34">
        <f>ROUND(1-G37-G34,7)</f>
        <v>0.6633543</v>
      </c>
    </row>
    <row r="39" spans="1:5" ht="12.75">
      <c r="A39" s="7">
        <v>19</v>
      </c>
      <c r="E39" s="262"/>
    </row>
    <row r="40" spans="1:7" ht="13.5">
      <c r="A40" s="7">
        <v>20</v>
      </c>
      <c r="B40" s="2" t="s">
        <v>90</v>
      </c>
      <c r="E40" s="261">
        <f>ROUND(1/E38,5)</f>
        <v>1.6079</v>
      </c>
      <c r="G40" s="34">
        <f>ROUND(1/G38,7)</f>
        <v>1.50749</v>
      </c>
    </row>
  </sheetData>
  <sheetProtection/>
  <mergeCells count="6">
    <mergeCell ref="E8:G8"/>
    <mergeCell ref="E26:G26"/>
    <mergeCell ref="A1:G1"/>
    <mergeCell ref="A2:G2"/>
    <mergeCell ref="A3:G3"/>
    <mergeCell ref="A4:G4"/>
  </mergeCells>
  <printOptions horizontalCentered="1"/>
  <pageMargins left="0.68" right="0.56" top="1" bottom="1" header="0.5" footer="0.5"/>
  <pageSetup horizontalDpi="600" verticalDpi="600" orientation="landscape" scale="81" r:id="rId1"/>
  <headerFooter alignWithMargins="0">
    <oddHeader>&amp;R&amp;"Times New Roman,Regular"&amp;10Exhibit No.___(MJM-4)
Schedule 3 (E &amp;&amp; G)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Layout" workbookViewId="0" topLeftCell="C1">
      <selection activeCell="B32" sqref="B32"/>
    </sheetView>
  </sheetViews>
  <sheetFormatPr defaultColWidth="13.33203125" defaultRowHeight="10.5"/>
  <cols>
    <col min="1" max="1" width="6.83203125" style="73" customWidth="1"/>
    <col min="2" max="2" width="28" style="73" customWidth="1"/>
    <col min="3" max="3" width="2.33203125" style="73" customWidth="1"/>
    <col min="4" max="4" width="17.66015625" style="73" customWidth="1"/>
    <col min="5" max="5" width="2.33203125" style="73" customWidth="1"/>
    <col min="6" max="6" width="13.66015625" style="73" customWidth="1"/>
    <col min="7" max="7" width="2.16015625" style="73" customWidth="1"/>
    <col min="8" max="8" width="16.5" style="73" customWidth="1"/>
    <col min="9" max="9" width="2.83203125" style="73" bestFit="1" customWidth="1"/>
    <col min="10" max="10" width="14.5" style="73" customWidth="1"/>
    <col min="11" max="16384" width="13.33203125" style="73" customWidth="1"/>
  </cols>
  <sheetData>
    <row r="1" spans="1:10" ht="12.75">
      <c r="A1" s="294" t="s">
        <v>73</v>
      </c>
      <c r="B1" s="294"/>
      <c r="C1" s="294"/>
      <c r="D1" s="294"/>
      <c r="E1" s="294"/>
      <c r="F1" s="294"/>
      <c r="G1" s="294"/>
      <c r="H1" s="294"/>
      <c r="I1" s="294"/>
      <c r="J1" s="301"/>
    </row>
    <row r="2" spans="1:10" ht="12.75">
      <c r="A2" s="294" t="s">
        <v>74</v>
      </c>
      <c r="B2" s="294"/>
      <c r="C2" s="294"/>
      <c r="D2" s="294"/>
      <c r="E2" s="294"/>
      <c r="F2" s="294"/>
      <c r="G2" s="294"/>
      <c r="H2" s="294"/>
      <c r="I2" s="294"/>
      <c r="J2" s="301"/>
    </row>
    <row r="4" spans="1:10" ht="12.75">
      <c r="A4" s="294" t="s">
        <v>324</v>
      </c>
      <c r="B4" s="294"/>
      <c r="C4" s="294"/>
      <c r="D4" s="294"/>
      <c r="E4" s="294"/>
      <c r="F4" s="294"/>
      <c r="G4" s="294"/>
      <c r="H4" s="294"/>
      <c r="I4" s="294"/>
      <c r="J4" s="301"/>
    </row>
    <row r="6" spans="1:10" ht="12.75">
      <c r="A6" s="294" t="s">
        <v>306</v>
      </c>
      <c r="B6" s="294"/>
      <c r="C6" s="294"/>
      <c r="D6" s="294"/>
      <c r="E6" s="294"/>
      <c r="F6" s="294"/>
      <c r="G6" s="294"/>
      <c r="H6" s="294"/>
      <c r="I6" s="294"/>
      <c r="J6" s="301"/>
    </row>
    <row r="9" spans="6:8" ht="12.75">
      <c r="F9" s="77"/>
      <c r="G9" s="77"/>
      <c r="H9" s="77"/>
    </row>
    <row r="10" spans="4:10" ht="12.75">
      <c r="D10" s="300" t="s">
        <v>81</v>
      </c>
      <c r="E10" s="300"/>
      <c r="F10" s="300"/>
      <c r="H10" s="300" t="s">
        <v>82</v>
      </c>
      <c r="I10" s="300"/>
      <c r="J10" s="300"/>
    </row>
    <row r="11" spans="1:10" s="74" customFormat="1" ht="12.75">
      <c r="A11" s="74" t="s">
        <v>63</v>
      </c>
      <c r="B11" s="74" t="s">
        <v>64</v>
      </c>
      <c r="D11" s="281"/>
      <c r="E11" s="85"/>
      <c r="F11" s="281" t="s">
        <v>310</v>
      </c>
      <c r="G11" s="77"/>
      <c r="H11" s="281"/>
      <c r="I11" s="85"/>
      <c r="J11" s="281" t="s">
        <v>310</v>
      </c>
    </row>
    <row r="13" spans="2:10" ht="12.75">
      <c r="B13" s="74"/>
      <c r="F13" s="83"/>
      <c r="G13" s="83"/>
      <c r="H13" s="83"/>
      <c r="I13" s="83"/>
      <c r="J13" s="83"/>
    </row>
    <row r="14" spans="1:11" ht="12.75">
      <c r="A14" s="77">
        <v>1</v>
      </c>
      <c r="B14" s="73" t="s">
        <v>307</v>
      </c>
      <c r="C14" s="83"/>
      <c r="D14" s="277">
        <v>5564169426.810254</v>
      </c>
      <c r="E14" s="83"/>
      <c r="G14" s="83"/>
      <c r="H14" s="277">
        <v>2274401793</v>
      </c>
      <c r="I14" s="85"/>
      <c r="K14" s="83"/>
    </row>
    <row r="15" spans="1:11" ht="12.75">
      <c r="A15" s="77"/>
      <c r="E15" s="83"/>
      <c r="G15" s="83"/>
      <c r="I15" s="83"/>
      <c r="K15" s="83"/>
    </row>
    <row r="16" spans="1:11" ht="12.75">
      <c r="A16" s="77">
        <v>2</v>
      </c>
      <c r="B16" s="73" t="s">
        <v>179</v>
      </c>
      <c r="D16" s="278">
        <v>-2277237104.224495</v>
      </c>
      <c r="E16" s="83"/>
      <c r="F16" s="277">
        <v>33161745.125</v>
      </c>
      <c r="G16" s="274"/>
      <c r="H16" s="278">
        <v>-960083323</v>
      </c>
      <c r="I16" s="83"/>
      <c r="J16" s="277">
        <v>97268846.1666667</v>
      </c>
      <c r="K16" s="83"/>
    </row>
    <row r="17" spans="1:11" ht="12.75">
      <c r="A17" s="77"/>
      <c r="E17" s="83"/>
      <c r="F17" s="83"/>
      <c r="G17" s="83"/>
      <c r="H17" s="275"/>
      <c r="I17" s="83"/>
      <c r="J17" s="83"/>
      <c r="K17" s="83"/>
    </row>
    <row r="18" spans="1:11" ht="12.75">
      <c r="A18" s="77">
        <v>3</v>
      </c>
      <c r="B18" s="73" t="s">
        <v>308</v>
      </c>
      <c r="C18" s="83"/>
      <c r="D18" s="83"/>
      <c r="E18" s="83"/>
      <c r="F18" s="279">
        <f>-F16</f>
        <v>-33161745.125</v>
      </c>
      <c r="G18" s="83"/>
      <c r="H18" s="276"/>
      <c r="I18" s="83"/>
      <c r="J18" s="279">
        <f>-J16</f>
        <v>-97268846.1666667</v>
      </c>
      <c r="K18" s="83"/>
    </row>
    <row r="19" spans="1:11" ht="12.75">
      <c r="A19" s="77"/>
      <c r="E19" s="83"/>
      <c r="F19" s="83"/>
      <c r="G19" s="83"/>
      <c r="H19" s="275"/>
      <c r="I19" s="83"/>
      <c r="J19" s="83"/>
      <c r="K19" s="83"/>
    </row>
    <row r="20" spans="1:11" ht="13.5" thickBot="1">
      <c r="A20" s="77">
        <v>4</v>
      </c>
      <c r="B20" s="73" t="s">
        <v>309</v>
      </c>
      <c r="E20" s="83"/>
      <c r="F20" s="280">
        <f>SUM(F16:F18)</f>
        <v>0</v>
      </c>
      <c r="G20" s="83"/>
      <c r="H20" s="82"/>
      <c r="I20" s="83"/>
      <c r="J20" s="280">
        <f>SUM(J16:J18)</f>
        <v>0</v>
      </c>
      <c r="K20" s="83"/>
    </row>
    <row r="21" spans="5:11" ht="13.5" thickTop="1">
      <c r="E21" s="83"/>
      <c r="F21" s="83"/>
      <c r="G21" s="83"/>
      <c r="H21" s="275"/>
      <c r="I21" s="83"/>
      <c r="J21" s="83"/>
      <c r="K21" s="83"/>
    </row>
    <row r="22" spans="3:11" ht="12.75">
      <c r="C22" s="83"/>
      <c r="D22" s="83"/>
      <c r="E22" s="83"/>
      <c r="F22" s="83"/>
      <c r="G22" s="83"/>
      <c r="H22" s="83"/>
      <c r="I22" s="83"/>
      <c r="J22" s="83"/>
      <c r="K22" s="83"/>
    </row>
    <row r="23" spans="3:10" ht="12.75">
      <c r="C23" s="83"/>
      <c r="D23" s="83"/>
      <c r="E23" s="83"/>
      <c r="F23" s="83"/>
      <c r="G23" s="83"/>
      <c r="H23" s="83"/>
      <c r="I23" s="83"/>
      <c r="J23" s="83"/>
    </row>
    <row r="24" ht="12.75">
      <c r="A24" s="73" t="s">
        <v>72</v>
      </c>
    </row>
    <row r="25" spans="1:2" ht="12.75">
      <c r="A25" s="77" t="s">
        <v>66</v>
      </c>
      <c r="B25" s="73" t="s">
        <v>311</v>
      </c>
    </row>
    <row r="28" ht="12.75">
      <c r="B28" s="97"/>
    </row>
  </sheetData>
  <sheetProtection/>
  <mergeCells count="6">
    <mergeCell ref="D10:F10"/>
    <mergeCell ref="H10:J10"/>
    <mergeCell ref="A1:J1"/>
    <mergeCell ref="A2:J2"/>
    <mergeCell ref="A4:J4"/>
    <mergeCell ref="A6:J6"/>
  </mergeCells>
  <printOptions/>
  <pageMargins left="0.75" right="0.51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1 of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Layout" workbookViewId="0" topLeftCell="A1">
      <selection activeCell="B32" sqref="B32"/>
    </sheetView>
  </sheetViews>
  <sheetFormatPr defaultColWidth="10.33203125" defaultRowHeight="10.5"/>
  <cols>
    <col min="1" max="1" width="6.33203125" style="139" bestFit="1" customWidth="1"/>
    <col min="2" max="2" width="62.16015625" style="139" customWidth="1"/>
    <col min="3" max="3" width="18.33203125" style="139" bestFit="1" customWidth="1"/>
    <col min="4" max="4" width="2.5" style="140" customWidth="1"/>
    <col min="5" max="5" width="18.33203125" style="139" bestFit="1" customWidth="1"/>
    <col min="6" max="6" width="3" style="139" customWidth="1"/>
    <col min="7" max="7" width="15.16015625" style="139" customWidth="1"/>
    <col min="8" max="16384" width="10.33203125" style="139" customWidth="1"/>
  </cols>
  <sheetData>
    <row r="1" spans="1:7" s="73" customFormat="1" ht="12.75">
      <c r="A1" s="294" t="s">
        <v>73</v>
      </c>
      <c r="B1" s="294"/>
      <c r="C1" s="294"/>
      <c r="D1" s="294"/>
      <c r="E1" s="294"/>
      <c r="F1" s="294"/>
      <c r="G1" s="294"/>
    </row>
    <row r="2" spans="1:7" s="73" customFormat="1" ht="12.75">
      <c r="A2" s="294" t="s">
        <v>74</v>
      </c>
      <c r="B2" s="294"/>
      <c r="C2" s="294"/>
      <c r="D2" s="294"/>
      <c r="E2" s="294"/>
      <c r="F2" s="294"/>
      <c r="G2" s="294"/>
    </row>
    <row r="3" spans="5:7" s="73" customFormat="1" ht="12.75">
      <c r="E3" s="126"/>
      <c r="F3" s="126"/>
      <c r="G3" s="126"/>
    </row>
    <row r="4" spans="1:7" s="73" customFormat="1" ht="12.75">
      <c r="A4" s="294" t="s">
        <v>325</v>
      </c>
      <c r="B4" s="294"/>
      <c r="C4" s="294"/>
      <c r="D4" s="294"/>
      <c r="E4" s="294"/>
      <c r="F4" s="294"/>
      <c r="G4" s="294"/>
    </row>
    <row r="5" spans="5:7" s="73" customFormat="1" ht="12.75">
      <c r="E5" s="126"/>
      <c r="F5" s="126"/>
      <c r="G5" s="126"/>
    </row>
    <row r="6" spans="1:7" s="73" customFormat="1" ht="12.75">
      <c r="A6" s="294" t="s">
        <v>173</v>
      </c>
      <c r="B6" s="294"/>
      <c r="C6" s="294"/>
      <c r="D6" s="294"/>
      <c r="E6" s="294"/>
      <c r="F6" s="294"/>
      <c r="G6" s="294"/>
    </row>
    <row r="7" spans="1:7" s="73" customFormat="1" ht="12.75">
      <c r="A7" s="138"/>
      <c r="B7" s="138"/>
      <c r="C7" s="138"/>
      <c r="D7" s="138"/>
      <c r="E7" s="138"/>
      <c r="F7" s="138"/>
      <c r="G7" s="138"/>
    </row>
    <row r="8" spans="1:7" s="73" customFormat="1" ht="12.75">
      <c r="A8" s="138"/>
      <c r="B8" s="138"/>
      <c r="C8" s="138"/>
      <c r="D8" s="138"/>
      <c r="E8" s="138"/>
      <c r="F8" s="138"/>
      <c r="G8" s="138"/>
    </row>
    <row r="9" spans="1:7" ht="15" customHeight="1">
      <c r="A9" s="141"/>
      <c r="B9" s="142"/>
      <c r="C9" s="79" t="s">
        <v>119</v>
      </c>
      <c r="D9" s="77"/>
      <c r="E9" s="79" t="s">
        <v>239</v>
      </c>
      <c r="F9" s="77"/>
      <c r="G9" s="73"/>
    </row>
    <row r="10" spans="2:7" ht="15" customHeight="1">
      <c r="B10" s="141"/>
      <c r="C10" s="79" t="s">
        <v>120</v>
      </c>
      <c r="D10" s="77"/>
      <c r="E10" s="79" t="s">
        <v>120</v>
      </c>
      <c r="F10" s="77"/>
      <c r="G10" s="77" t="s">
        <v>239</v>
      </c>
    </row>
    <row r="11" spans="1:7" s="170" customFormat="1" ht="15" customHeight="1">
      <c r="A11" s="74" t="s">
        <v>63</v>
      </c>
      <c r="B11" s="74" t="s">
        <v>64</v>
      </c>
      <c r="C11" s="75" t="s">
        <v>184</v>
      </c>
      <c r="D11" s="74"/>
      <c r="E11" s="75" t="s">
        <v>185</v>
      </c>
      <c r="F11" s="91"/>
      <c r="G11" s="74" t="s">
        <v>122</v>
      </c>
    </row>
    <row r="12" spans="1:5" ht="15" customHeight="1">
      <c r="A12" s="145"/>
      <c r="B12" s="145"/>
      <c r="C12" s="145"/>
      <c r="D12" s="146"/>
      <c r="E12" s="145"/>
    </row>
    <row r="13" spans="1:7" ht="15" customHeight="1">
      <c r="A13" s="143">
        <v>1</v>
      </c>
      <c r="B13" s="109" t="s">
        <v>121</v>
      </c>
      <c r="C13" s="144"/>
      <c r="D13" s="155"/>
      <c r="E13" s="144"/>
      <c r="G13" s="144"/>
    </row>
    <row r="14" spans="1:7" ht="15" customHeight="1">
      <c r="A14" s="143">
        <v>2</v>
      </c>
      <c r="B14" s="156" t="s">
        <v>182</v>
      </c>
      <c r="C14" s="148">
        <v>571980.3091838827</v>
      </c>
      <c r="D14" s="149"/>
      <c r="E14" s="149">
        <v>540203.6253403338</v>
      </c>
      <c r="G14" s="168">
        <f>+E14-C14</f>
        <v>-31776.683843548875</v>
      </c>
    </row>
    <row r="16" spans="1:8" s="73" customFormat="1" ht="12.75">
      <c r="A16" s="77">
        <v>3</v>
      </c>
      <c r="B16" s="73" t="s">
        <v>78</v>
      </c>
      <c r="D16" s="83"/>
      <c r="E16" s="96"/>
      <c r="F16" s="96"/>
      <c r="G16" s="96">
        <f>+G14</f>
        <v>-31776.683843548875</v>
      </c>
      <c r="H16" s="80"/>
    </row>
    <row r="17" spans="1:7" s="73" customFormat="1" ht="12.75">
      <c r="A17" s="77"/>
      <c r="D17" s="83"/>
      <c r="E17" s="82"/>
      <c r="F17" s="82"/>
      <c r="G17" s="83"/>
    </row>
    <row r="18" spans="1:7" s="73" customFormat="1" ht="12.75">
      <c r="A18" s="77">
        <v>4</v>
      </c>
      <c r="B18" s="73" t="s">
        <v>67</v>
      </c>
      <c r="D18" s="83"/>
      <c r="E18" s="190">
        <v>0.3067</v>
      </c>
      <c r="F18" s="84"/>
      <c r="G18" s="83"/>
    </row>
    <row r="19" spans="1:7" s="73" customFormat="1" ht="12.75">
      <c r="A19" s="77"/>
      <c r="D19" s="83"/>
      <c r="E19" s="84"/>
      <c r="F19" s="84"/>
      <c r="G19" s="83"/>
    </row>
    <row r="20" spans="1:8" s="73" customFormat="1" ht="12.75">
      <c r="A20" s="77">
        <v>5</v>
      </c>
      <c r="B20" s="73" t="s">
        <v>79</v>
      </c>
      <c r="D20" s="83"/>
      <c r="E20" s="82"/>
      <c r="F20" s="82"/>
      <c r="G20" s="86">
        <f>-G16*E18</f>
        <v>9745.90893481644</v>
      </c>
      <c r="H20" s="82"/>
    </row>
    <row r="21" spans="4:7" s="73" customFormat="1" ht="12.75">
      <c r="D21" s="83"/>
      <c r="E21" s="84"/>
      <c r="F21" s="84"/>
      <c r="G21" s="83"/>
    </row>
    <row r="22" spans="1:12" s="73" customFormat="1" ht="13.5" thickBot="1">
      <c r="A22" s="77">
        <v>6</v>
      </c>
      <c r="B22" s="73" t="s">
        <v>183</v>
      </c>
      <c r="D22" s="83"/>
      <c r="E22" s="96"/>
      <c r="F22" s="96"/>
      <c r="G22" s="87">
        <f>+G16+G20</f>
        <v>-22030.774908732434</v>
      </c>
      <c r="H22" s="96"/>
      <c r="L22" s="99"/>
    </row>
    <row r="23" spans="1:7" s="73" customFormat="1" ht="13.5" thickTop="1">
      <c r="A23" s="77"/>
      <c r="D23" s="83"/>
      <c r="E23" s="82"/>
      <c r="F23" s="82"/>
      <c r="G23" s="83"/>
    </row>
    <row r="24" spans="1:7" s="73" customFormat="1" ht="12.75">
      <c r="A24" s="77">
        <v>7</v>
      </c>
      <c r="B24" s="73" t="s">
        <v>70</v>
      </c>
      <c r="D24" s="83"/>
      <c r="E24" s="128"/>
      <c r="F24" s="128"/>
      <c r="G24" s="83">
        <f>+'Conversion Factor'!G22</f>
        <v>1.5089154</v>
      </c>
    </row>
    <row r="25" spans="4:7" s="73" customFormat="1" ht="12.75">
      <c r="D25" s="83"/>
      <c r="E25" s="82"/>
      <c r="F25" s="82"/>
      <c r="G25" s="83"/>
    </row>
    <row r="26" spans="1:8" s="73" customFormat="1" ht="13.5" thickBot="1">
      <c r="A26" s="77">
        <v>8</v>
      </c>
      <c r="B26" s="73" t="s">
        <v>101</v>
      </c>
      <c r="C26" s="83"/>
      <c r="D26" s="83"/>
      <c r="E26" s="96"/>
      <c r="F26" s="96"/>
      <c r="G26" s="87">
        <f>+G22*G24</f>
        <v>-33242.575533719966</v>
      </c>
      <c r="H26" s="96"/>
    </row>
    <row r="27" spans="5:7" s="93" customFormat="1" ht="13.5" thickTop="1">
      <c r="E27" s="169"/>
      <c r="F27" s="126"/>
      <c r="G27" s="126"/>
    </row>
    <row r="28" spans="5:7" s="93" customFormat="1" ht="12.75">
      <c r="E28" s="169"/>
      <c r="F28" s="126"/>
      <c r="G28" s="126"/>
    </row>
    <row r="29" spans="5:7" s="93" customFormat="1" ht="12.75">
      <c r="E29" s="169"/>
      <c r="F29" s="126"/>
      <c r="G29" s="126"/>
    </row>
    <row r="30" spans="1:2" ht="15" customHeight="1">
      <c r="A30" s="143"/>
      <c r="B30" s="109" t="s">
        <v>123</v>
      </c>
    </row>
    <row r="31" spans="1:7" ht="15" customHeight="1">
      <c r="A31" s="143">
        <v>9</v>
      </c>
      <c r="B31" s="147" t="s">
        <v>124</v>
      </c>
      <c r="C31" s="148">
        <v>13240284.9348121</v>
      </c>
      <c r="D31" s="149"/>
      <c r="E31" s="149">
        <v>13240284.9348121</v>
      </c>
      <c r="G31" s="149">
        <f>+E31-C31</f>
        <v>0</v>
      </c>
    </row>
    <row r="32" spans="1:7" ht="15" customHeight="1">
      <c r="A32" s="143">
        <v>10</v>
      </c>
      <c r="B32" s="147" t="s">
        <v>179</v>
      </c>
      <c r="C32" s="150">
        <v>-466940.71536770667</v>
      </c>
      <c r="D32" s="151"/>
      <c r="E32" s="151">
        <v>-447742.3022122292</v>
      </c>
      <c r="G32" s="151">
        <f>+E32-C32</f>
        <v>19198.413155477494</v>
      </c>
    </row>
    <row r="33" spans="1:7" ht="15" customHeight="1">
      <c r="A33" s="143">
        <v>11</v>
      </c>
      <c r="B33" s="147" t="s">
        <v>180</v>
      </c>
      <c r="C33" s="151">
        <v>-1007020.7294481943</v>
      </c>
      <c r="D33" s="151"/>
      <c r="E33" s="151">
        <v>-1011883.7568759425</v>
      </c>
      <c r="G33" s="151">
        <f>+E33-C33</f>
        <v>-4863.027427748195</v>
      </c>
    </row>
    <row r="34" spans="1:7" ht="15" customHeight="1">
      <c r="A34" s="143">
        <v>12</v>
      </c>
      <c r="B34" s="152" t="s">
        <v>181</v>
      </c>
      <c r="C34" s="153">
        <v>11766323.4899962</v>
      </c>
      <c r="D34" s="154"/>
      <c r="E34" s="153">
        <f>SUM(E31:E33)</f>
        <v>11780658.875723928</v>
      </c>
      <c r="G34" s="153">
        <f>SUM(G31:G33)</f>
        <v>14335.3857277293</v>
      </c>
    </row>
    <row r="35" spans="5:7" s="93" customFormat="1" ht="12.75">
      <c r="E35" s="169"/>
      <c r="F35" s="126"/>
      <c r="G35" s="126"/>
    </row>
    <row r="36" spans="5:7" s="93" customFormat="1" ht="12.75">
      <c r="E36" s="169"/>
      <c r="F36" s="126"/>
      <c r="G36" s="126"/>
    </row>
    <row r="37" spans="1:4" s="157" customFormat="1" ht="12.75">
      <c r="A37" s="159" t="s">
        <v>72</v>
      </c>
      <c r="D37" s="158"/>
    </row>
    <row r="38" spans="1:4" s="157" customFormat="1" ht="12.75">
      <c r="A38" s="157" t="s">
        <v>175</v>
      </c>
      <c r="D38" s="158"/>
    </row>
    <row r="39" spans="1:4" s="157" customFormat="1" ht="12.75">
      <c r="A39" s="157" t="s">
        <v>174</v>
      </c>
      <c r="D39" s="158"/>
    </row>
    <row r="40" s="157" customFormat="1" ht="12.75">
      <c r="D40" s="158"/>
    </row>
  </sheetData>
  <sheetProtection/>
  <mergeCells count="4">
    <mergeCell ref="A1:G1"/>
    <mergeCell ref="A2:G2"/>
    <mergeCell ref="A4:G4"/>
    <mergeCell ref="A6:G6"/>
  </mergeCells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&amp;C&amp;"Times New Roman,Regular"&amp;10Schedule 4 (E &amp;&amp; G)
Page 2 of 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Layout" workbookViewId="0" topLeftCell="A1">
      <selection activeCell="B9" sqref="B9"/>
    </sheetView>
  </sheetViews>
  <sheetFormatPr defaultColWidth="10.66015625" defaultRowHeight="10.5"/>
  <cols>
    <col min="1" max="1" width="7.5" style="161" customWidth="1"/>
    <col min="2" max="2" width="53" style="161" customWidth="1"/>
    <col min="3" max="3" width="18.33203125" style="161" customWidth="1"/>
    <col min="4" max="4" width="1.0078125" style="161" customWidth="1"/>
    <col min="5" max="5" width="18.33203125" style="161" customWidth="1"/>
    <col min="6" max="6" width="1.0078125" style="161" customWidth="1"/>
    <col min="7" max="7" width="15.66015625" style="161" customWidth="1"/>
    <col min="8" max="247" width="12" style="161" customWidth="1"/>
    <col min="248" max="16384" width="10.66015625" style="161" customWidth="1"/>
  </cols>
  <sheetData>
    <row r="1" spans="1:7" s="73" customFormat="1" ht="12.75">
      <c r="A1" s="294" t="s">
        <v>73</v>
      </c>
      <c r="B1" s="294"/>
      <c r="C1" s="294"/>
      <c r="D1" s="294"/>
      <c r="E1" s="294"/>
      <c r="F1" s="294"/>
      <c r="G1" s="301"/>
    </row>
    <row r="2" spans="1:7" s="73" customFormat="1" ht="12.75">
      <c r="A2" s="294" t="s">
        <v>74</v>
      </c>
      <c r="B2" s="294"/>
      <c r="C2" s="294"/>
      <c r="D2" s="294"/>
      <c r="E2" s="294"/>
      <c r="F2" s="294"/>
      <c r="G2" s="301"/>
    </row>
    <row r="3" spans="3:4" s="73" customFormat="1" ht="12.75">
      <c r="C3" s="126"/>
      <c r="D3" s="126"/>
    </row>
    <row r="4" spans="1:7" s="73" customFormat="1" ht="12.75">
      <c r="A4" s="294" t="s">
        <v>326</v>
      </c>
      <c r="B4" s="294"/>
      <c r="C4" s="294"/>
      <c r="D4" s="294"/>
      <c r="E4" s="294"/>
      <c r="F4" s="294"/>
      <c r="G4" s="301"/>
    </row>
    <row r="5" spans="3:4" s="73" customFormat="1" ht="12.75">
      <c r="C5" s="126"/>
      <c r="D5" s="126"/>
    </row>
    <row r="6" spans="1:7" s="73" customFormat="1" ht="12.75">
      <c r="A6" s="301" t="s">
        <v>176</v>
      </c>
      <c r="B6" s="301"/>
      <c r="C6" s="301"/>
      <c r="D6" s="301"/>
      <c r="E6" s="301"/>
      <c r="F6" s="301"/>
      <c r="G6" s="301"/>
    </row>
    <row r="7" spans="1:4" s="73" customFormat="1" ht="12.75">
      <c r="A7" s="167"/>
      <c r="B7" s="167"/>
      <c r="C7" s="167"/>
      <c r="D7" s="167"/>
    </row>
    <row r="8" spans="1:7" s="139" customFormat="1" ht="15" customHeight="1">
      <c r="A8" s="141"/>
      <c r="B8" s="142"/>
      <c r="C8" s="79"/>
      <c r="D8" s="77"/>
      <c r="E8" s="79"/>
      <c r="F8" s="77"/>
      <c r="G8" s="73"/>
    </row>
    <row r="9" spans="1:7" s="139" customFormat="1" ht="15" customHeight="1">
      <c r="A9" s="141"/>
      <c r="B9" s="142"/>
      <c r="C9" s="79" t="s">
        <v>119</v>
      </c>
      <c r="D9" s="77"/>
      <c r="E9" s="79" t="s">
        <v>239</v>
      </c>
      <c r="F9" s="77"/>
      <c r="G9" s="79" t="s">
        <v>279</v>
      </c>
    </row>
    <row r="10" spans="2:7" s="139" customFormat="1" ht="15" customHeight="1">
      <c r="B10" s="141"/>
      <c r="C10" s="79" t="s">
        <v>122</v>
      </c>
      <c r="E10" s="79" t="s">
        <v>122</v>
      </c>
      <c r="F10" s="77"/>
      <c r="G10" s="77" t="s">
        <v>239</v>
      </c>
    </row>
    <row r="11" spans="1:7" s="170" customFormat="1" ht="15" customHeight="1">
      <c r="A11" s="74" t="s">
        <v>63</v>
      </c>
      <c r="B11" s="74" t="s">
        <v>64</v>
      </c>
      <c r="C11" s="75" t="s">
        <v>184</v>
      </c>
      <c r="D11" s="74"/>
      <c r="E11" s="75" t="s">
        <v>185</v>
      </c>
      <c r="F11" s="91"/>
      <c r="G11" s="74" t="s">
        <v>122</v>
      </c>
    </row>
    <row r="12" spans="1:7" ht="12.75">
      <c r="A12" s="160"/>
      <c r="B12" s="160"/>
      <c r="C12" s="160"/>
      <c r="D12" s="160"/>
      <c r="E12" s="160"/>
      <c r="G12" s="160"/>
    </row>
    <row r="13" spans="1:7" s="139" customFormat="1" ht="15" customHeight="1">
      <c r="A13" s="143">
        <v>1</v>
      </c>
      <c r="B13" s="109" t="s">
        <v>121</v>
      </c>
      <c r="C13" s="144"/>
      <c r="D13" s="155"/>
      <c r="E13" s="144"/>
      <c r="G13" s="144"/>
    </row>
    <row r="14" spans="1:7" s="139" customFormat="1" ht="15" customHeight="1">
      <c r="A14" s="143">
        <v>2</v>
      </c>
      <c r="B14" s="156" t="s">
        <v>182</v>
      </c>
      <c r="C14" s="171">
        <v>3371986.976027416</v>
      </c>
      <c r="D14" s="162"/>
      <c r="E14" s="171">
        <v>3024979.1733905002</v>
      </c>
      <c r="G14" s="168">
        <f>+E14-C14</f>
        <v>-347007.8026369158</v>
      </c>
    </row>
    <row r="15" s="139" customFormat="1" ht="12.75">
      <c r="D15" s="140"/>
    </row>
    <row r="16" spans="1:8" s="73" customFormat="1" ht="12.75">
      <c r="A16" s="77">
        <v>3</v>
      </c>
      <c r="B16" s="73" t="s">
        <v>78</v>
      </c>
      <c r="D16" s="83"/>
      <c r="E16" s="96"/>
      <c r="F16" s="96"/>
      <c r="G16" s="96">
        <f>+G14</f>
        <v>-347007.8026369158</v>
      </c>
      <c r="H16" s="80"/>
    </row>
    <row r="17" spans="1:7" s="73" customFormat="1" ht="12.75">
      <c r="A17" s="77"/>
      <c r="D17" s="83"/>
      <c r="E17" s="82"/>
      <c r="F17" s="82"/>
      <c r="G17" s="83"/>
    </row>
    <row r="18" spans="1:7" s="73" customFormat="1" ht="12.75">
      <c r="A18" s="77">
        <v>4</v>
      </c>
      <c r="B18" s="73" t="s">
        <v>67</v>
      </c>
      <c r="D18" s="83"/>
      <c r="E18" s="190">
        <v>0.3067</v>
      </c>
      <c r="F18" s="84"/>
      <c r="G18" s="83"/>
    </row>
    <row r="19" spans="1:7" s="73" customFormat="1" ht="12.75">
      <c r="A19" s="77"/>
      <c r="D19" s="83"/>
      <c r="E19" s="84"/>
      <c r="F19" s="84"/>
      <c r="G19" s="83"/>
    </row>
    <row r="20" spans="1:8" s="73" customFormat="1" ht="12.75">
      <c r="A20" s="77">
        <v>5</v>
      </c>
      <c r="B20" s="73" t="s">
        <v>79</v>
      </c>
      <c r="D20" s="83"/>
      <c r="E20" s="82"/>
      <c r="F20" s="82"/>
      <c r="G20" s="86">
        <f>-G16*E18</f>
        <v>106427.29306874207</v>
      </c>
      <c r="H20" s="82"/>
    </row>
    <row r="21" spans="4:7" s="73" customFormat="1" ht="12.75">
      <c r="D21" s="83"/>
      <c r="E21" s="84"/>
      <c r="F21" s="84"/>
      <c r="G21" s="83"/>
    </row>
    <row r="22" spans="1:12" s="73" customFormat="1" ht="13.5" thickBot="1">
      <c r="A22" s="77">
        <v>6</v>
      </c>
      <c r="B22" s="73" t="s">
        <v>183</v>
      </c>
      <c r="D22" s="83"/>
      <c r="E22" s="96"/>
      <c r="F22" s="96"/>
      <c r="G22" s="87">
        <f>+G16+G20</f>
        <v>-240580.50956817373</v>
      </c>
      <c r="H22" s="96"/>
      <c r="L22" s="99"/>
    </row>
    <row r="23" spans="1:7" s="73" customFormat="1" ht="13.5" thickTop="1">
      <c r="A23" s="77"/>
      <c r="D23" s="83"/>
      <c r="E23" s="82"/>
      <c r="F23" s="82"/>
      <c r="G23" s="83"/>
    </row>
    <row r="24" spans="1:7" s="73" customFormat="1" ht="12.75">
      <c r="A24" s="77">
        <v>7</v>
      </c>
      <c r="B24" s="73" t="s">
        <v>70</v>
      </c>
      <c r="D24" s="83"/>
      <c r="E24" s="128"/>
      <c r="F24" s="128"/>
      <c r="G24" s="83">
        <f>+'Conversion Factor'!G22</f>
        <v>1.5089154</v>
      </c>
    </row>
    <row r="25" spans="4:7" s="73" customFormat="1" ht="12.75">
      <c r="D25" s="83"/>
      <c r="E25" s="82"/>
      <c r="F25" s="82"/>
      <c r="G25" s="83"/>
    </row>
    <row r="26" spans="1:8" s="73" customFormat="1" ht="13.5" thickBot="1">
      <c r="A26" s="77">
        <v>8</v>
      </c>
      <c r="B26" s="73" t="s">
        <v>101</v>
      </c>
      <c r="C26" s="83"/>
      <c r="D26" s="83"/>
      <c r="E26" s="96"/>
      <c r="F26" s="96"/>
      <c r="G26" s="87">
        <f>+G22*G24</f>
        <v>-363015.6358272647</v>
      </c>
      <c r="H26" s="96"/>
    </row>
    <row r="27" spans="1:7" ht="13.5" thickTop="1">
      <c r="A27" s="160"/>
      <c r="B27" s="160"/>
      <c r="C27" s="160"/>
      <c r="D27" s="160"/>
      <c r="E27" s="160"/>
      <c r="G27" s="160"/>
    </row>
    <row r="28" spans="1:7" ht="12.75">
      <c r="A28" s="160"/>
      <c r="B28" s="160"/>
      <c r="C28" s="160"/>
      <c r="D28" s="160"/>
      <c r="E28" s="160"/>
      <c r="G28" s="160"/>
    </row>
    <row r="29" spans="1:4" s="139" customFormat="1" ht="15" customHeight="1">
      <c r="A29" s="143"/>
      <c r="B29" s="109" t="s">
        <v>123</v>
      </c>
      <c r="D29" s="140"/>
    </row>
    <row r="30" spans="1:7" s="139" customFormat="1" ht="15" customHeight="1">
      <c r="A30" s="143">
        <v>9</v>
      </c>
      <c r="B30" s="147" t="s">
        <v>124</v>
      </c>
      <c r="C30" s="162">
        <v>76704230.89958328</v>
      </c>
      <c r="D30" s="162"/>
      <c r="E30" s="162">
        <v>76704230.89958328</v>
      </c>
      <c r="G30" s="149">
        <f>+E30-C30</f>
        <v>0</v>
      </c>
    </row>
    <row r="31" spans="1:7" s="139" customFormat="1" ht="15" customHeight="1">
      <c r="A31" s="143">
        <v>10</v>
      </c>
      <c r="B31" s="147" t="s">
        <v>179</v>
      </c>
      <c r="C31" s="163">
        <v>-3217691.304716125</v>
      </c>
      <c r="D31" s="151"/>
      <c r="E31" s="163">
        <v>-3192957.456429299</v>
      </c>
      <c r="G31" s="151">
        <f>+E31-C31</f>
        <v>24733.848286826164</v>
      </c>
    </row>
    <row r="32" spans="1:7" s="139" customFormat="1" ht="15" customHeight="1">
      <c r="A32" s="143">
        <v>11</v>
      </c>
      <c r="B32" s="147" t="s">
        <v>187</v>
      </c>
      <c r="C32" s="163">
        <v>-11088505.177083332</v>
      </c>
      <c r="D32" s="151"/>
      <c r="E32" s="163">
        <v>-11088505.177083332</v>
      </c>
      <c r="G32" s="151">
        <f>+E32-C32</f>
        <v>0</v>
      </c>
    </row>
    <row r="33" spans="1:7" s="139" customFormat="1" ht="15" customHeight="1">
      <c r="A33" s="143"/>
      <c r="B33" s="147" t="s">
        <v>186</v>
      </c>
      <c r="C33" s="164">
        <v>149634.875</v>
      </c>
      <c r="D33" s="151"/>
      <c r="E33" s="164">
        <v>149634.875</v>
      </c>
      <c r="G33" s="151">
        <f>+E33-C33</f>
        <v>0</v>
      </c>
    </row>
    <row r="34" spans="1:7" s="139" customFormat="1" ht="15" customHeight="1" thickBot="1">
      <c r="A34" s="143">
        <v>12</v>
      </c>
      <c r="B34" s="152" t="s">
        <v>181</v>
      </c>
      <c r="C34" s="165">
        <v>62547669.29278383</v>
      </c>
      <c r="D34" s="154"/>
      <c r="E34" s="165">
        <f>SUM(E30:E33)</f>
        <v>62572403.14107065</v>
      </c>
      <c r="G34" s="153">
        <f>SUM(G30:G32)</f>
        <v>24733.848286826164</v>
      </c>
    </row>
    <row r="35" spans="1:7" ht="13.5" thickTop="1">
      <c r="A35" s="160"/>
      <c r="B35" s="160"/>
      <c r="C35" s="160"/>
      <c r="D35" s="160"/>
      <c r="E35" s="160"/>
      <c r="G35" s="160"/>
    </row>
    <row r="39" ht="12.75">
      <c r="A39" s="159" t="s">
        <v>72</v>
      </c>
    </row>
    <row r="40" ht="12.75">
      <c r="A40" s="157" t="s">
        <v>177</v>
      </c>
    </row>
    <row r="41" spans="1:4" ht="12.75">
      <c r="A41" s="157" t="s">
        <v>178</v>
      </c>
      <c r="C41" s="166"/>
      <c r="D41" s="166"/>
    </row>
  </sheetData>
  <sheetProtection/>
  <mergeCells count="4">
    <mergeCell ref="A1:G1"/>
    <mergeCell ref="A2:G2"/>
    <mergeCell ref="A4:G4"/>
    <mergeCell ref="A6:G6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&amp;C&amp;"Times New Roman,Regular"&amp;10Schedule 4 (E &amp;&amp; G)
Page 3 of 16&amp;R&amp;"Times New Roman,Regular"&amp;10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Layout" workbookViewId="0" topLeftCell="A1">
      <selection activeCell="H9" sqref="H9"/>
    </sheetView>
  </sheetViews>
  <sheetFormatPr defaultColWidth="9.33203125" defaultRowHeight="10.5"/>
  <cols>
    <col min="1" max="1" width="5.16015625" style="93" customWidth="1"/>
    <col min="2" max="2" width="45.16015625" style="93" customWidth="1"/>
    <col min="3" max="3" width="3.16015625" style="93" customWidth="1"/>
    <col min="4" max="4" width="14.66015625" style="93" customWidth="1"/>
    <col min="5" max="5" width="3.66015625" style="93" customWidth="1"/>
    <col min="6" max="6" width="14.66015625" style="93" customWidth="1"/>
    <col min="7" max="16384" width="9.33203125" style="93" customWidth="1"/>
  </cols>
  <sheetData>
    <row r="1" spans="1:6" ht="12.75">
      <c r="A1" s="294" t="s">
        <v>73</v>
      </c>
      <c r="B1" s="294"/>
      <c r="C1" s="294"/>
      <c r="D1" s="294"/>
      <c r="E1" s="294"/>
      <c r="F1" s="294"/>
    </row>
    <row r="2" spans="1:6" ht="12.75">
      <c r="A2" s="294" t="s">
        <v>74</v>
      </c>
      <c r="B2" s="294"/>
      <c r="C2" s="294"/>
      <c r="D2" s="294"/>
      <c r="E2" s="294"/>
      <c r="F2" s="294"/>
    </row>
    <row r="3" spans="1:6" ht="12.75">
      <c r="A3" s="73"/>
      <c r="B3" s="73"/>
      <c r="C3" s="73"/>
      <c r="D3" s="73"/>
      <c r="E3" s="126"/>
      <c r="F3" s="126"/>
    </row>
    <row r="4" spans="1:6" ht="12.75">
      <c r="A4" s="294" t="s">
        <v>327</v>
      </c>
      <c r="B4" s="294"/>
      <c r="C4" s="294"/>
      <c r="D4" s="294"/>
      <c r="E4" s="294"/>
      <c r="F4" s="294"/>
    </row>
    <row r="5" spans="1:6" ht="12.75">
      <c r="A5" s="73"/>
      <c r="B5" s="73"/>
      <c r="C5" s="73"/>
      <c r="D5" s="73"/>
      <c r="E5" s="126"/>
      <c r="F5" s="126"/>
    </row>
    <row r="6" spans="1:6" ht="12.75">
      <c r="A6" s="294" t="s">
        <v>323</v>
      </c>
      <c r="B6" s="294"/>
      <c r="C6" s="294"/>
      <c r="D6" s="294"/>
      <c r="E6" s="294"/>
      <c r="F6" s="294"/>
    </row>
    <row r="7" spans="1:6" ht="12.75">
      <c r="A7" s="138"/>
      <c r="B7" s="138"/>
      <c r="C7" s="138"/>
      <c r="D7" s="138"/>
      <c r="E7" s="138"/>
      <c r="F7" s="138"/>
    </row>
    <row r="9" spans="1:6" ht="12.75">
      <c r="A9" s="132" t="s">
        <v>63</v>
      </c>
      <c r="B9" s="132" t="s">
        <v>64</v>
      </c>
      <c r="D9" s="132" t="s">
        <v>254</v>
      </c>
      <c r="E9" s="94"/>
      <c r="F9" s="132" t="s">
        <v>239</v>
      </c>
    </row>
    <row r="11" spans="1:6" ht="12.75">
      <c r="A11" s="94">
        <v>1</v>
      </c>
      <c r="B11" s="93" t="s">
        <v>312</v>
      </c>
      <c r="D11" s="212">
        <v>7987354</v>
      </c>
      <c r="E11" s="212"/>
      <c r="F11" s="212">
        <v>7000000</v>
      </c>
    </row>
    <row r="12" ht="12.75">
      <c r="A12" s="94"/>
    </row>
    <row r="13" spans="1:6" ht="12.75">
      <c r="A13" s="94">
        <v>2</v>
      </c>
      <c r="B13" s="93" t="s">
        <v>317</v>
      </c>
      <c r="D13" s="224">
        <v>-10996358</v>
      </c>
      <c r="E13" s="224"/>
      <c r="F13" s="224">
        <v>-10996358</v>
      </c>
    </row>
    <row r="14" spans="1:6" ht="12.75">
      <c r="A14" s="94"/>
      <c r="D14" s="282"/>
      <c r="F14" s="282"/>
    </row>
    <row r="15" spans="1:6" ht="12.75">
      <c r="A15" s="94">
        <v>3</v>
      </c>
      <c r="B15" s="93" t="s">
        <v>318</v>
      </c>
      <c r="D15" s="212">
        <f>SUM(D11:D13)</f>
        <v>-3009004</v>
      </c>
      <c r="F15" s="212">
        <f>SUM(F11:F13)</f>
        <v>-3996358</v>
      </c>
    </row>
    <row r="16" ht="12.75">
      <c r="A16" s="94"/>
    </row>
    <row r="17" spans="1:6" ht="12.75">
      <c r="A17" s="94">
        <v>4</v>
      </c>
      <c r="B17" s="93" t="s">
        <v>319</v>
      </c>
      <c r="D17" s="212">
        <v>18975559</v>
      </c>
      <c r="E17" s="212"/>
      <c r="F17" s="212">
        <v>18975559</v>
      </c>
    </row>
    <row r="18" ht="12.75">
      <c r="A18" s="94"/>
    </row>
    <row r="19" spans="1:6" ht="12.75">
      <c r="A19" s="94">
        <v>5</v>
      </c>
      <c r="B19" s="93" t="s">
        <v>313</v>
      </c>
      <c r="D19" s="226">
        <v>0</v>
      </c>
      <c r="E19" s="224"/>
      <c r="F19" s="226">
        <v>-665416</v>
      </c>
    </row>
    <row r="20" ht="12.75">
      <c r="A20" s="94"/>
    </row>
    <row r="21" spans="1:6" ht="12.75">
      <c r="A21" s="94">
        <v>6</v>
      </c>
      <c r="B21" s="93" t="s">
        <v>320</v>
      </c>
      <c r="D21" s="212">
        <f>SUM(D17:D19)</f>
        <v>18975559</v>
      </c>
      <c r="F21" s="212">
        <f>SUM(F17:F19)</f>
        <v>18310143</v>
      </c>
    </row>
    <row r="22" ht="12.75">
      <c r="A22" s="94"/>
    </row>
    <row r="23" spans="1:6" ht="13.5" thickBot="1">
      <c r="A23" s="94">
        <v>7</v>
      </c>
      <c r="B23" s="93" t="s">
        <v>321</v>
      </c>
      <c r="D23" s="214">
        <f>+D21+D15</f>
        <v>15966555</v>
      </c>
      <c r="F23" s="283">
        <f>+F21+F15</f>
        <v>14313785</v>
      </c>
    </row>
    <row r="24" ht="13.5" thickTop="1"/>
    <row r="25" spans="1:6" ht="12.75">
      <c r="A25" s="94">
        <v>8</v>
      </c>
      <c r="B25" s="93" t="s">
        <v>314</v>
      </c>
      <c r="F25" s="272">
        <f>-F23</f>
        <v>-14313785</v>
      </c>
    </row>
    <row r="26" ht="12.75">
      <c r="A26" s="94"/>
    </row>
    <row r="27" spans="1:6" ht="13.5" thickBot="1">
      <c r="A27" s="94">
        <v>9</v>
      </c>
      <c r="B27" s="93" t="s">
        <v>315</v>
      </c>
      <c r="F27" s="214">
        <f>SUM(F23:F25)</f>
        <v>0</v>
      </c>
    </row>
    <row r="28" ht="13.5" thickTop="1"/>
    <row r="29" ht="12.75">
      <c r="B29" s="284" t="s">
        <v>316</v>
      </c>
    </row>
    <row r="30" spans="2:6" ht="13.5" thickBot="1">
      <c r="B30" s="93" t="s">
        <v>322</v>
      </c>
      <c r="F30" s="214">
        <f>-F25*0.5</f>
        <v>7156892.5</v>
      </c>
    </row>
    <row r="31" ht="13.5" thickTop="1"/>
    <row r="34" spans="1:2" ht="12.75">
      <c r="A34" s="94" t="s">
        <v>66</v>
      </c>
      <c r="B34" s="93" t="s">
        <v>340</v>
      </c>
    </row>
  </sheetData>
  <sheetProtection/>
  <mergeCells count="4">
    <mergeCell ref="A1:F1"/>
    <mergeCell ref="A2:F2"/>
    <mergeCell ref="A4:F4"/>
    <mergeCell ref="A6:F6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&amp;C&amp;"Times New Roman,Regular"&amp;10Schedule 4 (E &amp;&amp; G)
Page 4 of 16&amp;R&amp;"Times New Roman,Regular"&amp;10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StefanieJ</cp:lastModifiedBy>
  <cp:lastPrinted>2008-05-28T21:50:14Z</cp:lastPrinted>
  <dcterms:created xsi:type="dcterms:W3CDTF">2008-05-17T13:15:39Z</dcterms:created>
  <dcterms:modified xsi:type="dcterms:W3CDTF">2008-05-28T22:34:09Z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