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2.xml" ContentType="application/vnd.openxmlformats-officedocument.spreadsheetml.comments+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omments3.xml" ContentType="application/vnd.openxmlformats-officedocument.spreadsheetml.comment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WA ERM and REC Reports\2019\2019 Final Report\08.2019 Final Report\"/>
    </mc:Choice>
  </mc:AlternateContent>
  <bookViews>
    <workbookView xWindow="-15" yWindow="4530" windowWidth="12120" windowHeight="3300" tabRatio="796" activeTab="1"/>
  </bookViews>
  <sheets>
    <sheet name="Input Tab" sheetId="27" r:id="rId1"/>
    <sheet name="WA Summary " sheetId="10" r:id="rId2"/>
    <sheet name="WA Monthly" sheetId="6" r:id="rId3"/>
    <sheet name="WA RRC" sheetId="24" r:id="rId4"/>
  </sheets>
  <definedNames>
    <definedName name="AVARpt">'WA Monthly'!$A$6:$P$138</definedName>
    <definedName name="DefRpt">'WA Monthly'!$P$83</definedName>
    <definedName name="GLAccts">'WA Monthly'!$B$85:$R$126</definedName>
    <definedName name="IDAVARpt">#REF!</definedName>
    <definedName name="IDRevRpt">#REF!</definedName>
    <definedName name="INputs">#REF!</definedName>
    <definedName name="_xlnm.Print_Area" localSheetId="2">'WA Monthly'!$A$1:$R$140</definedName>
    <definedName name="_xlnm.Print_Area" localSheetId="3">'WA RRC'!$A$1:$N$15</definedName>
    <definedName name="_xlnm.Print_Area" localSheetId="1">'WA Summary '!$A$1:$Q$41</definedName>
    <definedName name="_xlnm.Print_Titles" localSheetId="2">'WA Monthly'!$A:$D,'WA Monthly'!$1:$5</definedName>
    <definedName name="WAAVARpt">'WA Monthly'!$A$6:$P$138</definedName>
  </definedNames>
  <calcPr calcId="152511" fullPrecision="0"/>
</workbook>
</file>

<file path=xl/calcChain.xml><?xml version="1.0" encoding="utf-8"?>
<calcChain xmlns="http://schemas.openxmlformats.org/spreadsheetml/2006/main">
  <c r="J33" i="27" l="1"/>
  <c r="J39" i="27"/>
  <c r="L36" i="6" l="1"/>
  <c r="J54" i="27"/>
  <c r="J55" i="27" l="1"/>
  <c r="J46" i="27" l="1"/>
  <c r="J47" i="27"/>
  <c r="J20" i="27"/>
  <c r="K36" i="6" l="1"/>
  <c r="I55" i="27"/>
  <c r="I54" i="27"/>
  <c r="I33" i="27"/>
  <c r="I39" i="27"/>
  <c r="I20" i="27"/>
  <c r="I47" i="27" l="1"/>
  <c r="I46" i="27"/>
  <c r="J36" i="6" l="1"/>
  <c r="H54" i="27"/>
  <c r="H55" i="27" l="1"/>
  <c r="H30" i="27" l="1"/>
  <c r="H33" i="27"/>
  <c r="H39" i="27"/>
  <c r="H46" i="27" l="1"/>
  <c r="H47" i="27"/>
  <c r="H20" i="27"/>
  <c r="I36" i="6" l="1"/>
  <c r="G55" i="27" l="1"/>
  <c r="G54" i="27"/>
  <c r="G46" i="27" l="1"/>
  <c r="G47" i="27"/>
  <c r="G33" i="27"/>
  <c r="G39" i="27"/>
  <c r="G20" i="27" l="1"/>
  <c r="H36" i="6" l="1"/>
  <c r="F55" i="27"/>
  <c r="F54" i="27"/>
  <c r="F46" i="27" l="1"/>
  <c r="F47" i="27"/>
  <c r="F33" i="27"/>
  <c r="F39" i="27"/>
  <c r="F22" i="27"/>
  <c r="F20" i="27"/>
  <c r="G36" i="6" l="1"/>
  <c r="P90" i="6"/>
  <c r="H90" i="6"/>
  <c r="O90" i="6"/>
  <c r="G90" i="6"/>
  <c r="N90" i="6"/>
  <c r="F90" i="6"/>
  <c r="M90" i="6"/>
  <c r="J90" i="6"/>
  <c r="L90" i="6"/>
  <c r="K90" i="6"/>
  <c r="I90" i="6"/>
  <c r="E90" i="6"/>
  <c r="D90" i="6" l="1"/>
  <c r="E54" i="27"/>
  <c r="E55" i="27"/>
  <c r="E46" i="27" l="1"/>
  <c r="E47" i="27"/>
  <c r="E33" i="27"/>
  <c r="E39" i="27"/>
  <c r="E20" i="27"/>
  <c r="D47" i="27" l="1"/>
  <c r="D46" i="27"/>
  <c r="C47" i="27"/>
  <c r="C46" i="27"/>
  <c r="F36" i="6" l="1"/>
  <c r="D55" i="27"/>
  <c r="D54" i="27"/>
  <c r="D33" i="27" l="1"/>
  <c r="D39" i="27"/>
  <c r="D20" i="27"/>
  <c r="E36" i="6" l="1"/>
  <c r="E27" i="6" l="1"/>
  <c r="D36" i="6" l="1"/>
  <c r="C33" i="27" l="1"/>
  <c r="C39" i="27"/>
  <c r="C55" i="27"/>
  <c r="C54" i="27"/>
  <c r="D51" i="6" l="1"/>
  <c r="P50" i="6" l="1"/>
  <c r="B9" i="24" l="1"/>
  <c r="F42" i="27" l="1"/>
  <c r="E42" i="27"/>
  <c r="D42" i="27"/>
  <c r="C42" i="27"/>
  <c r="P118" i="6"/>
  <c r="O118" i="6"/>
  <c r="N118" i="6"/>
  <c r="M118" i="6"/>
  <c r="L118" i="6"/>
  <c r="K118" i="6"/>
  <c r="J118" i="6"/>
  <c r="I118" i="6"/>
  <c r="H118" i="6"/>
  <c r="G118" i="6"/>
  <c r="F118" i="6"/>
  <c r="E118" i="6"/>
  <c r="D118" i="6" l="1"/>
  <c r="P53" i="6" l="1"/>
  <c r="O53" i="6"/>
  <c r="N53" i="6"/>
  <c r="M53" i="6"/>
  <c r="L53" i="6"/>
  <c r="K53" i="6"/>
  <c r="J53" i="6"/>
  <c r="I53" i="6"/>
  <c r="H53" i="6"/>
  <c r="G53" i="6"/>
  <c r="F53" i="6"/>
  <c r="E53" i="6"/>
  <c r="P43" i="6" l="1"/>
  <c r="M25" i="27"/>
  <c r="O14" i="6" s="1"/>
  <c r="O19" i="6"/>
  <c r="N43" i="6"/>
  <c r="N19" i="6"/>
  <c r="M44" i="6"/>
  <c r="K43" i="6"/>
  <c r="J44" i="6"/>
  <c r="F8" i="24"/>
  <c r="D2" i="27"/>
  <c r="E2" i="27" s="1"/>
  <c r="F2" i="27" s="1"/>
  <c r="G2" i="27" s="1"/>
  <c r="H2" i="27" s="1"/>
  <c r="I2" i="27" s="1"/>
  <c r="J2" i="27" s="1"/>
  <c r="K2" i="27" s="1"/>
  <c r="L2" i="27" s="1"/>
  <c r="M2" i="27" s="1"/>
  <c r="N2" i="27" s="1"/>
  <c r="A19" i="27"/>
  <c r="A20" i="27"/>
  <c r="A21" i="27"/>
  <c r="A22" i="27"/>
  <c r="C25" i="27"/>
  <c r="E14" i="6" s="1"/>
  <c r="D25" i="27"/>
  <c r="F14" i="6" s="1"/>
  <c r="E25" i="27"/>
  <c r="G14" i="6" s="1"/>
  <c r="F25" i="27"/>
  <c r="H14" i="6" s="1"/>
  <c r="G25" i="27"/>
  <c r="I14" i="6" s="1"/>
  <c r="H25" i="27"/>
  <c r="J14" i="6" s="1"/>
  <c r="I25" i="27"/>
  <c r="K14" i="6" s="1"/>
  <c r="J25" i="27"/>
  <c r="L14" i="6" s="1"/>
  <c r="K25" i="27"/>
  <c r="M14" i="6" s="1"/>
  <c r="L25" i="27"/>
  <c r="N14" i="6" s="1"/>
  <c r="N25" i="27"/>
  <c r="P14" i="6" s="1"/>
  <c r="E19" i="6"/>
  <c r="I19" i="6"/>
  <c r="H37" i="6"/>
  <c r="H43" i="6"/>
  <c r="G44" i="6"/>
  <c r="D8" i="24"/>
  <c r="D10" i="24"/>
  <c r="G5" i="10"/>
  <c r="G14" i="10" s="1"/>
  <c r="A7" i="10"/>
  <c r="A8" i="10"/>
  <c r="A9" i="10"/>
  <c r="A10" i="10"/>
  <c r="A11" i="10" s="1"/>
  <c r="A12" i="10" s="1"/>
  <c r="A13" i="10" s="1"/>
  <c r="F14" i="10"/>
  <c r="A15" i="10"/>
  <c r="F15" i="10"/>
  <c r="G15" i="10"/>
  <c r="H15" i="10"/>
  <c r="I15" i="10"/>
  <c r="J15" i="10"/>
  <c r="K15" i="10"/>
  <c r="L15" i="10"/>
  <c r="M15" i="10"/>
  <c r="N15" i="10"/>
  <c r="O15" i="10"/>
  <c r="P15" i="10"/>
  <c r="Q15" i="10"/>
  <c r="F16" i="10"/>
  <c r="G16" i="10"/>
  <c r="H16" i="10"/>
  <c r="I16" i="10"/>
  <c r="J16" i="10"/>
  <c r="K16" i="10"/>
  <c r="L16" i="10"/>
  <c r="M16" i="10"/>
  <c r="N16" i="10"/>
  <c r="O16" i="10"/>
  <c r="P16" i="10"/>
  <c r="Q16" i="10"/>
  <c r="F17" i="10"/>
  <c r="G17" i="10"/>
  <c r="H17" i="10"/>
  <c r="I17" i="10"/>
  <c r="J17" i="10"/>
  <c r="K17" i="10"/>
  <c r="L17" i="10"/>
  <c r="M17" i="10"/>
  <c r="N17" i="10"/>
  <c r="O17" i="10"/>
  <c r="P17" i="10"/>
  <c r="Q17" i="10"/>
  <c r="F18" i="10"/>
  <c r="G18" i="10"/>
  <c r="H18" i="10"/>
  <c r="I18" i="10"/>
  <c r="J18" i="10"/>
  <c r="K18" i="10"/>
  <c r="L18" i="10"/>
  <c r="M18" i="10"/>
  <c r="N18" i="10"/>
  <c r="O18" i="10"/>
  <c r="P18" i="10"/>
  <c r="Q18" i="10"/>
  <c r="F19" i="10"/>
  <c r="G19" i="10"/>
  <c r="H19" i="10"/>
  <c r="I19" i="10"/>
  <c r="J19" i="10"/>
  <c r="K19" i="10"/>
  <c r="L19" i="10"/>
  <c r="M19" i="10"/>
  <c r="N19" i="10"/>
  <c r="O19" i="10"/>
  <c r="P19" i="10"/>
  <c r="Q19" i="10"/>
  <c r="F20" i="10"/>
  <c r="G20" i="10"/>
  <c r="H20" i="10"/>
  <c r="I20" i="10"/>
  <c r="J20" i="10"/>
  <c r="K20" i="10"/>
  <c r="L20" i="10"/>
  <c r="M20" i="10"/>
  <c r="N20" i="10"/>
  <c r="O20" i="10"/>
  <c r="P20" i="10"/>
  <c r="Q20" i="10"/>
  <c r="F21" i="10"/>
  <c r="G21" i="10"/>
  <c r="H21" i="10"/>
  <c r="I21" i="10"/>
  <c r="J21" i="10"/>
  <c r="K21" i="10"/>
  <c r="L21" i="10"/>
  <c r="M21" i="10"/>
  <c r="N21" i="10"/>
  <c r="O21" i="10"/>
  <c r="P21" i="10"/>
  <c r="Q21" i="10"/>
  <c r="F22" i="10"/>
  <c r="G22" i="10"/>
  <c r="H22" i="10"/>
  <c r="I22" i="10"/>
  <c r="J22" i="10"/>
  <c r="K22" i="10"/>
  <c r="L22" i="10"/>
  <c r="M22" i="10"/>
  <c r="N22" i="10"/>
  <c r="O22" i="10"/>
  <c r="P22" i="10"/>
  <c r="Q22" i="10"/>
  <c r="E24" i="10"/>
  <c r="F27" i="10"/>
  <c r="G27" i="10"/>
  <c r="H27" i="10"/>
  <c r="I27" i="10"/>
  <c r="J27" i="10"/>
  <c r="K27" i="10"/>
  <c r="L27" i="10"/>
  <c r="M27" i="10"/>
  <c r="N27" i="10"/>
  <c r="O27" i="10"/>
  <c r="P27" i="10"/>
  <c r="Q27" i="10"/>
  <c r="C35" i="10"/>
  <c r="C36" i="10"/>
  <c r="F5" i="6"/>
  <c r="G5" i="6" s="1"/>
  <c r="H5" i="6" s="1"/>
  <c r="I5" i="6" s="1"/>
  <c r="J5" i="6" s="1"/>
  <c r="K5" i="6" s="1"/>
  <c r="L5" i="6" s="1"/>
  <c r="M5" i="6" s="1"/>
  <c r="N5" i="6" s="1"/>
  <c r="O5" i="6" s="1"/>
  <c r="P5" i="6" s="1"/>
  <c r="A7" i="6"/>
  <c r="E8" i="6"/>
  <c r="F8" i="6"/>
  <c r="G8" i="6"/>
  <c r="H8" i="6"/>
  <c r="I8" i="6"/>
  <c r="J8" i="6"/>
  <c r="K8" i="6"/>
  <c r="L8" i="6"/>
  <c r="M8" i="6"/>
  <c r="N8" i="6"/>
  <c r="O8" i="6"/>
  <c r="P8" i="6"/>
  <c r="E9" i="6"/>
  <c r="F9" i="6"/>
  <c r="G9" i="6"/>
  <c r="H9" i="6"/>
  <c r="I9" i="6"/>
  <c r="J9" i="6"/>
  <c r="K9" i="6"/>
  <c r="L9" i="6"/>
  <c r="M9" i="6"/>
  <c r="N9" i="6"/>
  <c r="O9" i="6"/>
  <c r="P9" i="6"/>
  <c r="E10" i="6"/>
  <c r="F10" i="6"/>
  <c r="G10" i="6"/>
  <c r="H10" i="6"/>
  <c r="I10" i="6"/>
  <c r="J10" i="6"/>
  <c r="K10" i="6"/>
  <c r="L10" i="6"/>
  <c r="M10" i="6"/>
  <c r="N10" i="6"/>
  <c r="O10" i="6"/>
  <c r="P10" i="6"/>
  <c r="E11" i="6"/>
  <c r="F11" i="6"/>
  <c r="G11" i="6"/>
  <c r="H11" i="6"/>
  <c r="I11" i="6"/>
  <c r="J11" i="6"/>
  <c r="K11" i="6"/>
  <c r="L11" i="6"/>
  <c r="M11" i="6"/>
  <c r="N11" i="6"/>
  <c r="O11" i="6"/>
  <c r="P11" i="6"/>
  <c r="A12" i="6"/>
  <c r="A23" i="27" s="1"/>
  <c r="E12" i="6"/>
  <c r="F12" i="6"/>
  <c r="G12" i="6"/>
  <c r="H12" i="6"/>
  <c r="I12" i="6"/>
  <c r="J12" i="6"/>
  <c r="K12" i="6"/>
  <c r="L12" i="6"/>
  <c r="M12" i="6"/>
  <c r="N12" i="6"/>
  <c r="O12" i="6"/>
  <c r="P12" i="6"/>
  <c r="E13" i="6"/>
  <c r="F13" i="6"/>
  <c r="G13" i="6"/>
  <c r="H13" i="6"/>
  <c r="I13" i="6"/>
  <c r="J13" i="6"/>
  <c r="K13" i="6"/>
  <c r="L13" i="6"/>
  <c r="M13" i="6"/>
  <c r="N13" i="6"/>
  <c r="O13" i="6"/>
  <c r="P13" i="6"/>
  <c r="E15" i="6"/>
  <c r="F15" i="6"/>
  <c r="G15" i="6"/>
  <c r="H15" i="6"/>
  <c r="I15" i="6"/>
  <c r="J15" i="6"/>
  <c r="K15" i="6"/>
  <c r="L15" i="6"/>
  <c r="M15" i="6"/>
  <c r="N15" i="6"/>
  <c r="O15" i="6"/>
  <c r="P15" i="6"/>
  <c r="E16" i="6"/>
  <c r="F16" i="6"/>
  <c r="G16" i="6"/>
  <c r="H16" i="6"/>
  <c r="I16" i="6"/>
  <c r="J16" i="6"/>
  <c r="K16" i="6"/>
  <c r="L16" i="6"/>
  <c r="M16" i="6"/>
  <c r="N16" i="6"/>
  <c r="O16" i="6"/>
  <c r="P16" i="6"/>
  <c r="E17" i="6"/>
  <c r="F17" i="6"/>
  <c r="G17" i="6"/>
  <c r="H17" i="6"/>
  <c r="I17" i="6"/>
  <c r="J17" i="6"/>
  <c r="K17" i="6"/>
  <c r="L17" i="6"/>
  <c r="M17" i="6"/>
  <c r="N17" i="6"/>
  <c r="O17" i="6"/>
  <c r="P17" i="6"/>
  <c r="E18" i="6"/>
  <c r="F18" i="6"/>
  <c r="G18" i="6"/>
  <c r="H18" i="6"/>
  <c r="I18" i="6"/>
  <c r="J18" i="6"/>
  <c r="K18" i="6"/>
  <c r="L18" i="6"/>
  <c r="M18" i="6"/>
  <c r="N18" i="6"/>
  <c r="O18" i="6"/>
  <c r="P18" i="6"/>
  <c r="F19" i="6"/>
  <c r="G19" i="6"/>
  <c r="H19" i="6"/>
  <c r="J19" i="6"/>
  <c r="K19" i="6"/>
  <c r="L19" i="6"/>
  <c r="M19" i="6"/>
  <c r="P19" i="6"/>
  <c r="E20" i="6"/>
  <c r="F20" i="6"/>
  <c r="G20" i="6"/>
  <c r="H20" i="6"/>
  <c r="I20" i="6"/>
  <c r="J20" i="6"/>
  <c r="K20" i="6"/>
  <c r="L20" i="6"/>
  <c r="M20" i="6"/>
  <c r="N20" i="6"/>
  <c r="O20" i="6"/>
  <c r="P20" i="6"/>
  <c r="E37" i="6"/>
  <c r="F37" i="6"/>
  <c r="G37" i="6"/>
  <c r="I37" i="6"/>
  <c r="J37" i="6"/>
  <c r="K37" i="6"/>
  <c r="L37" i="6"/>
  <c r="M37" i="6"/>
  <c r="N37" i="6"/>
  <c r="O37" i="6"/>
  <c r="P37" i="6"/>
  <c r="E42" i="6"/>
  <c r="F42" i="6"/>
  <c r="G42" i="6"/>
  <c r="H42" i="6"/>
  <c r="I42" i="6"/>
  <c r="J42" i="6"/>
  <c r="K42" i="6"/>
  <c r="L42" i="6"/>
  <c r="M42" i="6"/>
  <c r="N42" i="6"/>
  <c r="O42" i="6"/>
  <c r="P42" i="6"/>
  <c r="E43" i="6"/>
  <c r="F43" i="6"/>
  <c r="G43" i="6"/>
  <c r="I43" i="6"/>
  <c r="J43" i="6"/>
  <c r="L43" i="6"/>
  <c r="M43" i="6"/>
  <c r="O43" i="6"/>
  <c r="E44" i="6"/>
  <c r="F44" i="6"/>
  <c r="H44" i="6"/>
  <c r="I44" i="6"/>
  <c r="K44" i="6"/>
  <c r="L44" i="6"/>
  <c r="N44" i="6"/>
  <c r="O44" i="6"/>
  <c r="P44" i="6"/>
  <c r="E67" i="6"/>
  <c r="F67" i="6"/>
  <c r="G67" i="6"/>
  <c r="H67" i="6"/>
  <c r="I67" i="6"/>
  <c r="I71" i="6" s="1"/>
  <c r="J67" i="6"/>
  <c r="K67" i="6"/>
  <c r="L67" i="6"/>
  <c r="M67" i="6"/>
  <c r="N67" i="6"/>
  <c r="O67" i="6"/>
  <c r="P67" i="6"/>
  <c r="E68" i="6"/>
  <c r="F68" i="6"/>
  <c r="G68" i="6"/>
  <c r="H68" i="6"/>
  <c r="I68" i="6"/>
  <c r="J68" i="6"/>
  <c r="K68" i="6"/>
  <c r="L68" i="6"/>
  <c r="M68" i="6"/>
  <c r="N68" i="6"/>
  <c r="O68" i="6"/>
  <c r="P68" i="6"/>
  <c r="A89" i="6"/>
  <c r="A90" i="6" s="1"/>
  <c r="A91" i="6" s="1"/>
  <c r="A92" i="6"/>
  <c r="A93" i="6" s="1"/>
  <c r="A94" i="6" s="1"/>
  <c r="A95" i="6" s="1"/>
  <c r="A98" i="6" s="1"/>
  <c r="A99" i="6" s="1"/>
  <c r="A100" i="6" s="1"/>
  <c r="A101" i="6" s="1"/>
  <c r="A104" i="6" s="1"/>
  <c r="A105" i="6" s="1"/>
  <c r="A106" i="6" s="1"/>
  <c r="A107" i="6" s="1"/>
  <c r="A108" i="6" s="1"/>
  <c r="A111" i="6" s="1"/>
  <c r="A112" i="6" s="1"/>
  <c r="A113" i="6" s="1"/>
  <c r="A114" i="6" s="1"/>
  <c r="A115" i="6" s="1"/>
  <c r="A116" i="6" s="1"/>
  <c r="A117" i="6" s="1"/>
  <c r="D129" i="6"/>
  <c r="R129" i="6"/>
  <c r="Q136" i="6"/>
  <c r="C7" i="24"/>
  <c r="C18" i="24" s="1"/>
  <c r="B8" i="24"/>
  <c r="C8" i="24"/>
  <c r="E8" i="24"/>
  <c r="G8" i="24"/>
  <c r="H8" i="24"/>
  <c r="I8" i="24"/>
  <c r="J8" i="24"/>
  <c r="K8" i="24"/>
  <c r="L8" i="24"/>
  <c r="M8" i="24"/>
  <c r="B10" i="24"/>
  <c r="C10" i="24"/>
  <c r="E10" i="24"/>
  <c r="F9" i="24" s="1"/>
  <c r="F10" i="24"/>
  <c r="G10" i="24"/>
  <c r="H10" i="24"/>
  <c r="I10" i="24"/>
  <c r="J10" i="24"/>
  <c r="K10" i="24"/>
  <c r="L10" i="24"/>
  <c r="M10" i="24"/>
  <c r="B12" i="24"/>
  <c r="C12" i="24"/>
  <c r="D12" i="24"/>
  <c r="E12" i="24"/>
  <c r="F12" i="24"/>
  <c r="G12" i="24"/>
  <c r="H12" i="24"/>
  <c r="I12" i="24"/>
  <c r="J12" i="24"/>
  <c r="K12" i="24"/>
  <c r="L12" i="24"/>
  <c r="M12" i="24"/>
  <c r="B14" i="24"/>
  <c r="C14" i="24"/>
  <c r="D14" i="24"/>
  <c r="E14" i="24"/>
  <c r="F14" i="24"/>
  <c r="G14" i="24"/>
  <c r="H14" i="24"/>
  <c r="I14" i="24"/>
  <c r="J14" i="24"/>
  <c r="K14" i="24"/>
  <c r="L14" i="24"/>
  <c r="M14" i="24"/>
  <c r="B18" i="24"/>
  <c r="N18" i="24"/>
  <c r="I9" i="24" l="1"/>
  <c r="N12" i="24"/>
  <c r="D22" i="10"/>
  <c r="D21" i="10"/>
  <c r="D20" i="10"/>
  <c r="D19" i="10"/>
  <c r="D18" i="10"/>
  <c r="D17" i="10"/>
  <c r="D16" i="10"/>
  <c r="D15" i="10"/>
  <c r="G9" i="24"/>
  <c r="I11" i="24"/>
  <c r="I13" i="24" s="1"/>
  <c r="I15" i="24" s="1"/>
  <c r="I19" i="24" s="1"/>
  <c r="I20" i="24" s="1"/>
  <c r="D7" i="24"/>
  <c r="D18" i="24" s="1"/>
  <c r="A13" i="6"/>
  <c r="A24" i="27" s="1"/>
  <c r="E7" i="24"/>
  <c r="F7" i="24" s="1"/>
  <c r="G7" i="24" s="1"/>
  <c r="F11" i="24"/>
  <c r="F13" i="24" s="1"/>
  <c r="F15" i="24" s="1"/>
  <c r="F19" i="24" s="1"/>
  <c r="J30" i="10" s="1"/>
  <c r="D37" i="6"/>
  <c r="M9" i="24"/>
  <c r="L9" i="24"/>
  <c r="L11" i="24" s="1"/>
  <c r="L13" i="24" s="1"/>
  <c r="L15" i="24" s="1"/>
  <c r="L19" i="24" s="1"/>
  <c r="P30" i="10" s="1"/>
  <c r="J9" i="24"/>
  <c r="J11" i="24" s="1"/>
  <c r="J13" i="24" s="1"/>
  <c r="J15" i="24" s="1"/>
  <c r="J19" i="24" s="1"/>
  <c r="N30" i="10" s="1"/>
  <c r="N8" i="24"/>
  <c r="A118" i="6"/>
  <c r="A119" i="6" s="1"/>
  <c r="A120" i="6" s="1"/>
  <c r="A121" i="6" s="1"/>
  <c r="A122" i="6" s="1"/>
  <c r="A125" i="6" s="1"/>
  <c r="A126" i="6" s="1"/>
  <c r="A129" i="6" s="1"/>
  <c r="A130" i="6" s="1"/>
  <c r="A131" i="6" s="1"/>
  <c r="A133" i="6" s="1"/>
  <c r="A134" i="6" s="1"/>
  <c r="A135" i="6" s="1"/>
  <c r="A136" i="6" s="1"/>
  <c r="A138" i="6" s="1"/>
  <c r="A140" i="6" s="1"/>
  <c r="R37" i="6"/>
  <c r="R16" i="6"/>
  <c r="D11" i="6"/>
  <c r="R13" i="6"/>
  <c r="D18" i="6"/>
  <c r="D67" i="6"/>
  <c r="R12" i="6"/>
  <c r="R42" i="6"/>
  <c r="D19" i="6"/>
  <c r="R20" i="6"/>
  <c r="D16" i="6"/>
  <c r="R67" i="6"/>
  <c r="H5" i="10"/>
  <c r="D9" i="24"/>
  <c r="D11" i="24" s="1"/>
  <c r="D13" i="24" s="1"/>
  <c r="D15" i="24" s="1"/>
  <c r="D19" i="24" s="1"/>
  <c r="C9" i="24"/>
  <c r="C11" i="24" s="1"/>
  <c r="C13" i="24" s="1"/>
  <c r="C15" i="24" s="1"/>
  <c r="C19" i="24" s="1"/>
  <c r="R68" i="6"/>
  <c r="R43" i="6"/>
  <c r="R44" i="6"/>
  <c r="D44" i="6"/>
  <c r="D42" i="6"/>
  <c r="R17" i="6"/>
  <c r="D14" i="6"/>
  <c r="R14" i="6"/>
  <c r="D12" i="6"/>
  <c r="R9" i="6"/>
  <c r="D9" i="6"/>
  <c r="D8" i="6"/>
  <c r="R8" i="6"/>
  <c r="H9" i="24"/>
  <c r="H11" i="24" s="1"/>
  <c r="H13" i="24" s="1"/>
  <c r="H15" i="24" s="1"/>
  <c r="H19" i="24" s="1"/>
  <c r="G11" i="24"/>
  <c r="G13" i="24" s="1"/>
  <c r="G15" i="24" s="1"/>
  <c r="G19" i="24" s="1"/>
  <c r="N10" i="24"/>
  <c r="P23" i="10"/>
  <c r="H23" i="10"/>
  <c r="Q23" i="10"/>
  <c r="I23" i="10"/>
  <c r="M23" i="10"/>
  <c r="R19" i="6"/>
  <c r="K9" i="24"/>
  <c r="K11" i="24" s="1"/>
  <c r="K13" i="24" s="1"/>
  <c r="K15" i="24" s="1"/>
  <c r="K19" i="24" s="1"/>
  <c r="L23" i="10"/>
  <c r="A5" i="27"/>
  <c r="A16" i="10"/>
  <c r="E9" i="24"/>
  <c r="R18" i="6"/>
  <c r="R10" i="6"/>
  <c r="N23" i="10"/>
  <c r="F23" i="10"/>
  <c r="O23" i="10"/>
  <c r="G23" i="10"/>
  <c r="B11" i="24"/>
  <c r="D17" i="6"/>
  <c r="J23" i="10"/>
  <c r="K23" i="10"/>
  <c r="A14" i="6" l="1"/>
  <c r="E18" i="24"/>
  <c r="F20" i="24"/>
  <c r="F18" i="24"/>
  <c r="L20" i="24"/>
  <c r="M30" i="10"/>
  <c r="C20" i="24"/>
  <c r="G30" i="10"/>
  <c r="M11" i="24"/>
  <c r="M13" i="24" s="1"/>
  <c r="M15" i="24" s="1"/>
  <c r="M19" i="24" s="1"/>
  <c r="Q30" i="10" s="1"/>
  <c r="D68" i="6"/>
  <c r="D43" i="6"/>
  <c r="D20" i="6"/>
  <c r="D15" i="6"/>
  <c r="R15" i="6"/>
  <c r="D13" i="6"/>
  <c r="R11" i="6"/>
  <c r="D10" i="6"/>
  <c r="J20" i="24"/>
  <c r="H14" i="10"/>
  <c r="I5" i="10"/>
  <c r="H30" i="10"/>
  <c r="D20" i="24"/>
  <c r="B13" i="24"/>
  <c r="E11" i="24"/>
  <c r="E13" i="24" s="1"/>
  <c r="E15" i="24" s="1"/>
  <c r="E19" i="24" s="1"/>
  <c r="N9" i="24"/>
  <c r="H7" i="24"/>
  <c r="G18" i="24"/>
  <c r="A6" i="27"/>
  <c r="A17" i="10"/>
  <c r="K20" i="24"/>
  <c r="O30" i="10"/>
  <c r="A25" i="27"/>
  <c r="A15" i="6"/>
  <c r="K30" i="10"/>
  <c r="G20" i="24"/>
  <c r="L30" i="10"/>
  <c r="H20" i="24"/>
  <c r="D23" i="10"/>
  <c r="M20" i="24" l="1"/>
  <c r="D53" i="6"/>
  <c r="R53" i="6"/>
  <c r="N11" i="24"/>
  <c r="J5" i="10"/>
  <c r="I14" i="10"/>
  <c r="H18" i="24"/>
  <c r="I7" i="24"/>
  <c r="E20" i="24"/>
  <c r="I30" i="10"/>
  <c r="B15" i="24"/>
  <c r="N13" i="24"/>
  <c r="A16" i="6"/>
  <c r="A35" i="27"/>
  <c r="A7" i="27"/>
  <c r="A18" i="10"/>
  <c r="J14" i="10" l="1"/>
  <c r="K5" i="10"/>
  <c r="A36" i="27"/>
  <c r="A17" i="6"/>
  <c r="A8" i="27"/>
  <c r="A19" i="10"/>
  <c r="I18" i="24"/>
  <c r="J7" i="24"/>
  <c r="N15" i="24"/>
  <c r="N19" i="24" s="1"/>
  <c r="N20" i="24" s="1"/>
  <c r="B19" i="24"/>
  <c r="K14" i="10" l="1"/>
  <c r="L5" i="10"/>
  <c r="F30" i="10"/>
  <c r="B20" i="24"/>
  <c r="K7" i="24"/>
  <c r="J18" i="24"/>
  <c r="A9" i="27"/>
  <c r="A20" i="10"/>
  <c r="A37" i="27"/>
  <c r="A18" i="6"/>
  <c r="M5" i="10" l="1"/>
  <c r="L14" i="10"/>
  <c r="L7" i="24"/>
  <c r="K18" i="24"/>
  <c r="A10" i="27"/>
  <c r="A21" i="10"/>
  <c r="A38" i="27"/>
  <c r="A19" i="6"/>
  <c r="D30" i="10"/>
  <c r="M14" i="10" l="1"/>
  <c r="N5" i="10"/>
  <c r="M7" i="24"/>
  <c r="M18" i="24" s="1"/>
  <c r="L18" i="24"/>
  <c r="A39" i="27"/>
  <c r="A20" i="6"/>
  <c r="A11" i="27"/>
  <c r="A22" i="10"/>
  <c r="O5" i="10" l="1"/>
  <c r="N14" i="10"/>
  <c r="A21" i="6"/>
  <c r="A22" i="6" s="1"/>
  <c r="A23" i="6" s="1"/>
  <c r="A41" i="6" s="1"/>
  <c r="A42" i="6" s="1"/>
  <c r="A40" i="27"/>
  <c r="A12" i="27"/>
  <c r="A23" i="10"/>
  <c r="A24" i="10" s="1"/>
  <c r="A25" i="10" s="1"/>
  <c r="A26" i="10" s="1"/>
  <c r="A27" i="10" s="1"/>
  <c r="O14" i="10" l="1"/>
  <c r="P5" i="10"/>
  <c r="A13" i="27"/>
  <c r="A28" i="10"/>
  <c r="A29" i="10" s="1"/>
  <c r="A30" i="10" s="1"/>
  <c r="A31" i="10" s="1"/>
  <c r="A32" i="10" s="1"/>
  <c r="A33" i="10" s="1"/>
  <c r="A43" i="6"/>
  <c r="A45" i="27"/>
  <c r="P14" i="10" l="1"/>
  <c r="Q5" i="10"/>
  <c r="Q14" i="10" s="1"/>
  <c r="A46" i="27"/>
  <c r="A44" i="6"/>
  <c r="A45" i="6" l="1"/>
  <c r="A46" i="6" s="1"/>
  <c r="A60" i="6" s="1"/>
  <c r="A61" i="6" s="1"/>
  <c r="A62" i="6" s="1"/>
  <c r="A63" i="6" s="1"/>
  <c r="A64" i="6" s="1"/>
  <c r="A67" i="6" s="1"/>
  <c r="A47" i="27"/>
  <c r="A50" i="27" l="1"/>
  <c r="A68" i="6"/>
  <c r="A71" i="6" l="1"/>
  <c r="A72" i="6" s="1"/>
  <c r="A75" i="6" s="1"/>
  <c r="A76" i="6" s="1"/>
  <c r="A77" i="6" s="1"/>
  <c r="A78" i="6" s="1"/>
  <c r="A79" i="6" s="1"/>
  <c r="A80" i="6" s="1"/>
  <c r="A81" i="6" s="1"/>
  <c r="A83" i="6" s="1"/>
  <c r="A87" i="6" s="1"/>
  <c r="A51" i="27"/>
  <c r="N71" i="6" l="1"/>
  <c r="N72" i="6"/>
  <c r="M72" i="6"/>
  <c r="M71" i="6"/>
  <c r="P72" i="6"/>
  <c r="P71" i="6"/>
  <c r="H71" i="6"/>
  <c r="O72" i="6"/>
  <c r="O71" i="6"/>
  <c r="E38" i="6" l="1"/>
  <c r="E23" i="6" s="1"/>
  <c r="E7" i="6" l="1"/>
  <c r="F6" i="10"/>
  <c r="E126" i="6"/>
  <c r="G27" i="6"/>
  <c r="K27" i="6"/>
  <c r="O27" i="6"/>
  <c r="G28" i="6"/>
  <c r="K28" i="6"/>
  <c r="O28" i="6"/>
  <c r="G29" i="6"/>
  <c r="K29" i="6"/>
  <c r="O29" i="6"/>
  <c r="G30" i="6"/>
  <c r="K30" i="6"/>
  <c r="O30" i="6"/>
  <c r="G31" i="6"/>
  <c r="K31" i="6"/>
  <c r="O31" i="6"/>
  <c r="G32" i="6"/>
  <c r="K32" i="6"/>
  <c r="O32" i="6"/>
  <c r="G33" i="6"/>
  <c r="K33" i="6"/>
  <c r="O33" i="6"/>
  <c r="G34" i="6"/>
  <c r="K34" i="6"/>
  <c r="O34" i="6"/>
  <c r="G35" i="6"/>
  <c r="K35" i="6"/>
  <c r="O35" i="6"/>
  <c r="G50" i="6"/>
  <c r="K50" i="6"/>
  <c r="O50" i="6"/>
  <c r="G52" i="6"/>
  <c r="K52" i="6"/>
  <c r="O52" i="6"/>
  <c r="G54" i="6"/>
  <c r="K54" i="6"/>
  <c r="O54" i="6"/>
  <c r="G55" i="6"/>
  <c r="K55" i="6"/>
  <c r="O55" i="6"/>
  <c r="G56" i="6"/>
  <c r="K56" i="6"/>
  <c r="O56" i="6"/>
  <c r="G60" i="6"/>
  <c r="K60" i="6"/>
  <c r="O60" i="6"/>
  <c r="G61" i="6"/>
  <c r="K61" i="6"/>
  <c r="O61" i="6"/>
  <c r="G62" i="6"/>
  <c r="K62" i="6"/>
  <c r="O62" i="6"/>
  <c r="G63" i="6"/>
  <c r="K63" i="6"/>
  <c r="O63" i="6"/>
  <c r="G75" i="6"/>
  <c r="K75" i="6"/>
  <c r="O75" i="6"/>
  <c r="G76" i="6"/>
  <c r="K76" i="6"/>
  <c r="O76" i="6"/>
  <c r="G77" i="6"/>
  <c r="K77" i="6"/>
  <c r="O77" i="6"/>
  <c r="G78" i="6"/>
  <c r="K78" i="6"/>
  <c r="O78" i="6"/>
  <c r="G79" i="6"/>
  <c r="K79" i="6"/>
  <c r="O79" i="6"/>
  <c r="G80" i="6"/>
  <c r="K80" i="6"/>
  <c r="O80" i="6"/>
  <c r="G87" i="6"/>
  <c r="K87" i="6"/>
  <c r="O87" i="6"/>
  <c r="G88" i="6"/>
  <c r="K88" i="6"/>
  <c r="O88" i="6"/>
  <c r="G89" i="6"/>
  <c r="K89" i="6"/>
  <c r="O89" i="6"/>
  <c r="G91" i="6"/>
  <c r="K91" i="6"/>
  <c r="O91" i="6"/>
  <c r="G92" i="6"/>
  <c r="K92" i="6"/>
  <c r="O92" i="6"/>
  <c r="G93" i="6"/>
  <c r="K93" i="6"/>
  <c r="O93" i="6"/>
  <c r="G94" i="6"/>
  <c r="K94" i="6"/>
  <c r="O94" i="6"/>
  <c r="G98" i="6"/>
  <c r="K98" i="6"/>
  <c r="O98" i="6"/>
  <c r="G99" i="6"/>
  <c r="K99" i="6"/>
  <c r="O99" i="6"/>
  <c r="G100" i="6"/>
  <c r="K100" i="6"/>
  <c r="O100" i="6"/>
  <c r="G104" i="6"/>
  <c r="K104" i="6"/>
  <c r="O104" i="6"/>
  <c r="G105" i="6"/>
  <c r="K105" i="6"/>
  <c r="O105" i="6"/>
  <c r="G106" i="6"/>
  <c r="K106" i="6"/>
  <c r="O106" i="6"/>
  <c r="G107" i="6"/>
  <c r="H27" i="6"/>
  <c r="L27" i="6"/>
  <c r="P27" i="6"/>
  <c r="H28" i="6"/>
  <c r="L28" i="6"/>
  <c r="P28" i="6"/>
  <c r="H29" i="6"/>
  <c r="L29" i="6"/>
  <c r="P29" i="6"/>
  <c r="H30" i="6"/>
  <c r="L30" i="6"/>
  <c r="P30" i="6"/>
  <c r="H31" i="6"/>
  <c r="L31" i="6"/>
  <c r="P31" i="6"/>
  <c r="H32" i="6"/>
  <c r="L32" i="6"/>
  <c r="P32" i="6"/>
  <c r="H33" i="6"/>
  <c r="L33" i="6"/>
  <c r="P33" i="6"/>
  <c r="H34" i="6"/>
  <c r="L34" i="6"/>
  <c r="P34" i="6"/>
  <c r="H35" i="6"/>
  <c r="L35" i="6"/>
  <c r="P35" i="6"/>
  <c r="H50" i="6"/>
  <c r="L50" i="6"/>
  <c r="H52" i="6"/>
  <c r="L52" i="6"/>
  <c r="P52" i="6"/>
  <c r="H54" i="6"/>
  <c r="L54" i="6"/>
  <c r="P54" i="6"/>
  <c r="H55" i="6"/>
  <c r="L55" i="6"/>
  <c r="P55" i="6"/>
  <c r="H56" i="6"/>
  <c r="L56" i="6"/>
  <c r="P56" i="6"/>
  <c r="H60" i="6"/>
  <c r="L60" i="6"/>
  <c r="P60" i="6"/>
  <c r="H61" i="6"/>
  <c r="L61" i="6"/>
  <c r="P61" i="6"/>
  <c r="H62" i="6"/>
  <c r="L62" i="6"/>
  <c r="P62" i="6"/>
  <c r="H63" i="6"/>
  <c r="L63" i="6"/>
  <c r="P63" i="6"/>
  <c r="H75" i="6"/>
  <c r="L75" i="6"/>
  <c r="P75" i="6"/>
  <c r="H76" i="6"/>
  <c r="L76" i="6"/>
  <c r="P76" i="6"/>
  <c r="H77" i="6"/>
  <c r="L77" i="6"/>
  <c r="P77" i="6"/>
  <c r="H78" i="6"/>
  <c r="L78" i="6"/>
  <c r="P78" i="6"/>
  <c r="H79" i="6"/>
  <c r="L79" i="6"/>
  <c r="P79" i="6"/>
  <c r="H80" i="6"/>
  <c r="L80" i="6"/>
  <c r="P80" i="6"/>
  <c r="H87" i="6"/>
  <c r="L87" i="6"/>
  <c r="P87" i="6"/>
  <c r="H88" i="6"/>
  <c r="L88" i="6"/>
  <c r="P88" i="6"/>
  <c r="H89" i="6"/>
  <c r="L89" i="6"/>
  <c r="P89" i="6"/>
  <c r="H91" i="6"/>
  <c r="L91" i="6"/>
  <c r="P91" i="6"/>
  <c r="H92" i="6"/>
  <c r="L92" i="6"/>
  <c r="P92" i="6"/>
  <c r="H93" i="6"/>
  <c r="L93" i="6"/>
  <c r="P93" i="6"/>
  <c r="H94" i="6"/>
  <c r="L94" i="6"/>
  <c r="P94" i="6"/>
  <c r="H98" i="6"/>
  <c r="L98" i="6"/>
  <c r="P98" i="6"/>
  <c r="H99" i="6"/>
  <c r="L99" i="6"/>
  <c r="P99" i="6"/>
  <c r="H100" i="6"/>
  <c r="L100" i="6"/>
  <c r="P100" i="6"/>
  <c r="H104" i="6"/>
  <c r="L104" i="6"/>
  <c r="P104" i="6"/>
  <c r="H105" i="6"/>
  <c r="L105" i="6"/>
  <c r="P105" i="6"/>
  <c r="H106" i="6"/>
  <c r="L106" i="6"/>
  <c r="P106" i="6"/>
  <c r="H107" i="6"/>
  <c r="L107" i="6"/>
  <c r="I27" i="6"/>
  <c r="M27" i="6"/>
  <c r="E28" i="6"/>
  <c r="I28" i="6"/>
  <c r="M28" i="6"/>
  <c r="E29" i="6"/>
  <c r="I29" i="6"/>
  <c r="M29" i="6"/>
  <c r="E30" i="6"/>
  <c r="I30" i="6"/>
  <c r="M30" i="6"/>
  <c r="E31" i="6"/>
  <c r="I31" i="6"/>
  <c r="M31" i="6"/>
  <c r="E32" i="6"/>
  <c r="I32" i="6"/>
  <c r="M32" i="6"/>
  <c r="E33" i="6"/>
  <c r="I33" i="6"/>
  <c r="M33" i="6"/>
  <c r="E34" i="6"/>
  <c r="I34" i="6"/>
  <c r="M34" i="6"/>
  <c r="E35" i="6"/>
  <c r="I35" i="6"/>
  <c r="M35" i="6"/>
  <c r="E50" i="6"/>
  <c r="I50" i="6"/>
  <c r="M50" i="6"/>
  <c r="E52" i="6"/>
  <c r="I52" i="6"/>
  <c r="M52" i="6"/>
  <c r="E54" i="6"/>
  <c r="I54" i="6"/>
  <c r="M54" i="6"/>
  <c r="E55" i="6"/>
  <c r="I55" i="6"/>
  <c r="M55" i="6"/>
  <c r="E56" i="6"/>
  <c r="I56" i="6"/>
  <c r="M56" i="6"/>
  <c r="E60" i="6"/>
  <c r="I60" i="6"/>
  <c r="M60" i="6"/>
  <c r="E61" i="6"/>
  <c r="I61" i="6"/>
  <c r="M61" i="6"/>
  <c r="E62" i="6"/>
  <c r="I62" i="6"/>
  <c r="M62" i="6"/>
  <c r="E63" i="6"/>
  <c r="I63" i="6"/>
  <c r="M63" i="6"/>
  <c r="E75" i="6"/>
  <c r="I75" i="6"/>
  <c r="M75" i="6"/>
  <c r="E76" i="6"/>
  <c r="I76" i="6"/>
  <c r="M76" i="6"/>
  <c r="E77" i="6"/>
  <c r="I77" i="6"/>
  <c r="M77" i="6"/>
  <c r="E78" i="6"/>
  <c r="I78" i="6"/>
  <c r="M78" i="6"/>
  <c r="E79" i="6"/>
  <c r="I79" i="6"/>
  <c r="M79" i="6"/>
  <c r="E80" i="6"/>
  <c r="I80" i="6"/>
  <c r="M80" i="6"/>
  <c r="E87" i="6"/>
  <c r="I87" i="6"/>
  <c r="M87" i="6"/>
  <c r="E88" i="6"/>
  <c r="F27" i="6"/>
  <c r="J28" i="6"/>
  <c r="N29" i="6"/>
  <c r="F31" i="6"/>
  <c r="J32" i="6"/>
  <c r="N33" i="6"/>
  <c r="F35" i="6"/>
  <c r="J50" i="6"/>
  <c r="N52" i="6"/>
  <c r="F54" i="6"/>
  <c r="J55" i="6"/>
  <c r="N56" i="6"/>
  <c r="F61" i="6"/>
  <c r="J62" i="6"/>
  <c r="N63" i="6"/>
  <c r="F76" i="6"/>
  <c r="J77" i="6"/>
  <c r="N78" i="6"/>
  <c r="F80" i="6"/>
  <c r="J87" i="6"/>
  <c r="J88" i="6"/>
  <c r="F89" i="6"/>
  <c r="N89" i="6"/>
  <c r="J91" i="6"/>
  <c r="F92" i="6"/>
  <c r="N92" i="6"/>
  <c r="J93" i="6"/>
  <c r="F94" i="6"/>
  <c r="N94" i="6"/>
  <c r="J98" i="6"/>
  <c r="F99" i="6"/>
  <c r="N99" i="6"/>
  <c r="J100" i="6"/>
  <c r="F104" i="6"/>
  <c r="N104" i="6"/>
  <c r="J105" i="6"/>
  <c r="F106" i="6"/>
  <c r="N106" i="6"/>
  <c r="J107" i="6"/>
  <c r="O107" i="6"/>
  <c r="G111" i="6"/>
  <c r="K111" i="6"/>
  <c r="O111" i="6"/>
  <c r="G112" i="6"/>
  <c r="K112" i="6"/>
  <c r="O112" i="6"/>
  <c r="G113" i="6"/>
  <c r="K113" i="6"/>
  <c r="O113" i="6"/>
  <c r="G114" i="6"/>
  <c r="K114" i="6"/>
  <c r="O114" i="6"/>
  <c r="G115" i="6"/>
  <c r="K115" i="6"/>
  <c r="O115" i="6"/>
  <c r="G116" i="6"/>
  <c r="K116" i="6"/>
  <c r="O116" i="6"/>
  <c r="G117" i="6"/>
  <c r="K117" i="6"/>
  <c r="O117" i="6"/>
  <c r="G119" i="6"/>
  <c r="K119" i="6"/>
  <c r="O119" i="6"/>
  <c r="G120" i="6"/>
  <c r="K120" i="6"/>
  <c r="O120" i="6"/>
  <c r="G121" i="6"/>
  <c r="K121" i="6"/>
  <c r="O121" i="6"/>
  <c r="G125" i="6"/>
  <c r="K125" i="6"/>
  <c r="O125" i="6"/>
  <c r="G130" i="6"/>
  <c r="K130" i="6"/>
  <c r="O130" i="6"/>
  <c r="G133" i="6"/>
  <c r="K133" i="6"/>
  <c r="O133" i="6"/>
  <c r="G134" i="6"/>
  <c r="K134" i="6"/>
  <c r="O134" i="6"/>
  <c r="G135" i="6"/>
  <c r="K135" i="6"/>
  <c r="O135" i="6"/>
  <c r="J27" i="6"/>
  <c r="N28" i="6"/>
  <c r="F30" i="6"/>
  <c r="J31" i="6"/>
  <c r="N32" i="6"/>
  <c r="F34" i="6"/>
  <c r="J35" i="6"/>
  <c r="N50" i="6"/>
  <c r="J54" i="6"/>
  <c r="N55" i="6"/>
  <c r="F60" i="6"/>
  <c r="J61" i="6"/>
  <c r="N62" i="6"/>
  <c r="F75" i="6"/>
  <c r="J76" i="6"/>
  <c r="N77" i="6"/>
  <c r="F79" i="6"/>
  <c r="J80" i="6"/>
  <c r="N87" i="6"/>
  <c r="M88" i="6"/>
  <c r="I89" i="6"/>
  <c r="E91" i="6"/>
  <c r="M91" i="6"/>
  <c r="I92" i="6"/>
  <c r="E93" i="6"/>
  <c r="M93" i="6"/>
  <c r="I94" i="6"/>
  <c r="E98" i="6"/>
  <c r="M98" i="6"/>
  <c r="I99" i="6"/>
  <c r="E100" i="6"/>
  <c r="M100" i="6"/>
  <c r="I104" i="6"/>
  <c r="E105" i="6"/>
  <c r="M105" i="6"/>
  <c r="I106" i="6"/>
  <c r="E107" i="6"/>
  <c r="K107" i="6"/>
  <c r="P107" i="6"/>
  <c r="H111" i="6"/>
  <c r="L111" i="6"/>
  <c r="P111" i="6"/>
  <c r="H112" i="6"/>
  <c r="L112" i="6"/>
  <c r="P112" i="6"/>
  <c r="H113" i="6"/>
  <c r="L113" i="6"/>
  <c r="P113" i="6"/>
  <c r="H114" i="6"/>
  <c r="L114" i="6"/>
  <c r="P114" i="6"/>
  <c r="H115" i="6"/>
  <c r="L115" i="6"/>
  <c r="P115" i="6"/>
  <c r="H116" i="6"/>
  <c r="L116" i="6"/>
  <c r="P116" i="6"/>
  <c r="H117" i="6"/>
  <c r="L117" i="6"/>
  <c r="P117" i="6"/>
  <c r="H119" i="6"/>
  <c r="L119" i="6"/>
  <c r="P119" i="6"/>
  <c r="H120" i="6"/>
  <c r="L120" i="6"/>
  <c r="P120" i="6"/>
  <c r="H121" i="6"/>
  <c r="L121" i="6"/>
  <c r="P121" i="6"/>
  <c r="H125" i="6"/>
  <c r="L125" i="6"/>
  <c r="P125" i="6"/>
  <c r="H130" i="6"/>
  <c r="L130" i="6"/>
  <c r="P130" i="6"/>
  <c r="H133" i="6"/>
  <c r="L133" i="6"/>
  <c r="P133" i="6"/>
  <c r="H134" i="6"/>
  <c r="L134" i="6"/>
  <c r="P134" i="6"/>
  <c r="H135" i="6"/>
  <c r="L135" i="6"/>
  <c r="P135" i="6"/>
  <c r="N27" i="6"/>
  <c r="F29" i="6"/>
  <c r="J30" i="6"/>
  <c r="N31" i="6"/>
  <c r="F33" i="6"/>
  <c r="J34" i="6"/>
  <c r="N35" i="6"/>
  <c r="F52" i="6"/>
  <c r="N54" i="6"/>
  <c r="F56" i="6"/>
  <c r="J60" i="6"/>
  <c r="N61" i="6"/>
  <c r="F63" i="6"/>
  <c r="J75" i="6"/>
  <c r="N76" i="6"/>
  <c r="F78" i="6"/>
  <c r="J79" i="6"/>
  <c r="N80" i="6"/>
  <c r="F88" i="6"/>
  <c r="N88" i="6"/>
  <c r="J89" i="6"/>
  <c r="F91" i="6"/>
  <c r="N91" i="6"/>
  <c r="J92" i="6"/>
  <c r="F93" i="6"/>
  <c r="N93" i="6"/>
  <c r="J94" i="6"/>
  <c r="F98" i="6"/>
  <c r="N98" i="6"/>
  <c r="J99" i="6"/>
  <c r="F100" i="6"/>
  <c r="N100" i="6"/>
  <c r="J104" i="6"/>
  <c r="F105" i="6"/>
  <c r="N105" i="6"/>
  <c r="J106" i="6"/>
  <c r="F107" i="6"/>
  <c r="M107" i="6"/>
  <c r="E111" i="6"/>
  <c r="I111" i="6"/>
  <c r="M111" i="6"/>
  <c r="E112" i="6"/>
  <c r="I112" i="6"/>
  <c r="M112" i="6"/>
  <c r="E113" i="6"/>
  <c r="I113" i="6"/>
  <c r="M113" i="6"/>
  <c r="E114" i="6"/>
  <c r="I114" i="6"/>
  <c r="M114" i="6"/>
  <c r="E115" i="6"/>
  <c r="I115" i="6"/>
  <c r="M115" i="6"/>
  <c r="E116" i="6"/>
  <c r="I116" i="6"/>
  <c r="M116" i="6"/>
  <c r="E117" i="6"/>
  <c r="I117" i="6"/>
  <c r="M117" i="6"/>
  <c r="E119" i="6"/>
  <c r="I119" i="6"/>
  <c r="M119" i="6"/>
  <c r="E120" i="6"/>
  <c r="I120" i="6"/>
  <c r="M120" i="6"/>
  <c r="E121" i="6"/>
  <c r="I121" i="6"/>
  <c r="M121" i="6"/>
  <c r="E125" i="6"/>
  <c r="I125" i="6"/>
  <c r="M125" i="6"/>
  <c r="E130" i="6"/>
  <c r="I130" i="6"/>
  <c r="M130" i="6"/>
  <c r="E133" i="6"/>
  <c r="I133" i="6"/>
  <c r="M133" i="6"/>
  <c r="E134" i="6"/>
  <c r="I134" i="6"/>
  <c r="M134" i="6"/>
  <c r="E135" i="6"/>
  <c r="I135" i="6"/>
  <c r="M135" i="6"/>
  <c r="N30" i="6"/>
  <c r="F50" i="6"/>
  <c r="J56" i="6"/>
  <c r="N75" i="6"/>
  <c r="F87" i="6"/>
  <c r="I91" i="6"/>
  <c r="E94" i="6"/>
  <c r="M99" i="6"/>
  <c r="I105" i="6"/>
  <c r="N107" i="6"/>
  <c r="F112" i="6"/>
  <c r="J113" i="6"/>
  <c r="N114" i="6"/>
  <c r="F116" i="6"/>
  <c r="J117" i="6"/>
  <c r="N119" i="6"/>
  <c r="F121" i="6"/>
  <c r="J125" i="6"/>
  <c r="N130" i="6"/>
  <c r="F134" i="6"/>
  <c r="J135" i="6"/>
  <c r="I98" i="6"/>
  <c r="J111" i="6"/>
  <c r="F119" i="6"/>
  <c r="F130" i="6"/>
  <c r="F32" i="6"/>
  <c r="J52" i="6"/>
  <c r="N60" i="6"/>
  <c r="F77" i="6"/>
  <c r="I88" i="6"/>
  <c r="E92" i="6"/>
  <c r="M94" i="6"/>
  <c r="I100" i="6"/>
  <c r="E106" i="6"/>
  <c r="F111" i="6"/>
  <c r="J112" i="6"/>
  <c r="N113" i="6"/>
  <c r="F115" i="6"/>
  <c r="J116" i="6"/>
  <c r="N117" i="6"/>
  <c r="F120" i="6"/>
  <c r="J121" i="6"/>
  <c r="N125" i="6"/>
  <c r="F133" i="6"/>
  <c r="J134" i="6"/>
  <c r="N135" i="6"/>
  <c r="F28" i="6"/>
  <c r="F62" i="6"/>
  <c r="M92" i="6"/>
  <c r="E104" i="6"/>
  <c r="F114" i="6"/>
  <c r="N116" i="6"/>
  <c r="N121" i="6"/>
  <c r="J133" i="6"/>
  <c r="J29" i="6"/>
  <c r="N34" i="6"/>
  <c r="F55" i="6"/>
  <c r="J63" i="6"/>
  <c r="N79" i="6"/>
  <c r="M89" i="6"/>
  <c r="I93" i="6"/>
  <c r="E99" i="6"/>
  <c r="M104" i="6"/>
  <c r="I107" i="6"/>
  <c r="N111" i="6"/>
  <c r="F113" i="6"/>
  <c r="J114" i="6"/>
  <c r="N115" i="6"/>
  <c r="F117" i="6"/>
  <c r="J119" i="6"/>
  <c r="N120" i="6"/>
  <c r="F125" i="6"/>
  <c r="J130" i="6"/>
  <c r="N133" i="6"/>
  <c r="F135" i="6"/>
  <c r="J33" i="6"/>
  <c r="J78" i="6"/>
  <c r="E89" i="6"/>
  <c r="M106" i="6"/>
  <c r="N112" i="6"/>
  <c r="J115" i="6"/>
  <c r="J120" i="6"/>
  <c r="N134" i="6"/>
  <c r="P57" i="6" l="1"/>
  <c r="P46" i="6" s="1"/>
  <c r="D27" i="6"/>
  <c r="R27" i="6"/>
  <c r="D89" i="6"/>
  <c r="R89" i="6"/>
  <c r="J22" i="6"/>
  <c r="N136" i="6"/>
  <c r="O29" i="10" s="1"/>
  <c r="J131" i="6"/>
  <c r="N122" i="6"/>
  <c r="M108" i="6"/>
  <c r="N12" i="10" s="1"/>
  <c r="D99" i="6"/>
  <c r="R99" i="6"/>
  <c r="J136" i="6"/>
  <c r="K29" i="10" s="1"/>
  <c r="D104" i="6"/>
  <c r="D108" i="6" s="1"/>
  <c r="E108" i="6"/>
  <c r="F12" i="10" s="1"/>
  <c r="F72" i="6"/>
  <c r="F136" i="6"/>
  <c r="G29" i="10" s="1"/>
  <c r="F122" i="6"/>
  <c r="D106" i="6"/>
  <c r="D92" i="6"/>
  <c r="R92" i="6"/>
  <c r="N64" i="6"/>
  <c r="O8" i="10" s="1"/>
  <c r="F131" i="6"/>
  <c r="J122" i="6"/>
  <c r="I101" i="6"/>
  <c r="J11" i="10" s="1"/>
  <c r="N131" i="6"/>
  <c r="D94" i="6"/>
  <c r="R94" i="6"/>
  <c r="F95" i="6"/>
  <c r="G10" i="10" s="1"/>
  <c r="N81" i="6"/>
  <c r="O9" i="10" s="1"/>
  <c r="J45" i="6"/>
  <c r="F57" i="6"/>
  <c r="F46" i="6" s="1"/>
  <c r="D135" i="6"/>
  <c r="R135" i="6"/>
  <c r="D134" i="6"/>
  <c r="M136" i="6"/>
  <c r="N29" i="10" s="1"/>
  <c r="I136" i="6"/>
  <c r="J29" i="10" s="1"/>
  <c r="D133" i="6"/>
  <c r="R133" i="6"/>
  <c r="R136" i="6" s="1"/>
  <c r="E136" i="6"/>
  <c r="M131" i="6"/>
  <c r="I131" i="6"/>
  <c r="D130" i="6"/>
  <c r="R130" i="6"/>
  <c r="E131" i="6"/>
  <c r="D125" i="6"/>
  <c r="R125" i="6"/>
  <c r="D121" i="6"/>
  <c r="R121" i="6"/>
  <c r="D120" i="6"/>
  <c r="R120" i="6"/>
  <c r="D119" i="6"/>
  <c r="R119" i="6"/>
  <c r="D117" i="6"/>
  <c r="R117" i="6"/>
  <c r="D116" i="6"/>
  <c r="R116" i="6"/>
  <c r="D115" i="6"/>
  <c r="R115" i="6"/>
  <c r="D114" i="6"/>
  <c r="R114" i="6"/>
  <c r="D113" i="6"/>
  <c r="R113" i="6"/>
  <c r="D112" i="6"/>
  <c r="R112" i="6"/>
  <c r="M122" i="6"/>
  <c r="I122" i="6"/>
  <c r="D111" i="6"/>
  <c r="R111" i="6"/>
  <c r="R122" i="6" s="1"/>
  <c r="E122" i="6"/>
  <c r="J108" i="6"/>
  <c r="K12" i="10" s="1"/>
  <c r="N101" i="6"/>
  <c r="O11" i="10" s="1"/>
  <c r="F101" i="6"/>
  <c r="G11" i="10" s="1"/>
  <c r="J81" i="6"/>
  <c r="K9" i="10" s="1"/>
  <c r="J71" i="6"/>
  <c r="J64" i="6"/>
  <c r="K8" i="10" s="1"/>
  <c r="F45" i="6"/>
  <c r="N21" i="6"/>
  <c r="F22" i="6"/>
  <c r="N38" i="6"/>
  <c r="N23" i="6" s="1"/>
  <c r="P136" i="6"/>
  <c r="Q29" i="10" s="1"/>
  <c r="L136" i="6"/>
  <c r="M29" i="10" s="1"/>
  <c r="H136" i="6"/>
  <c r="I29" i="10" s="1"/>
  <c r="P131" i="6"/>
  <c r="L131" i="6"/>
  <c r="H131" i="6"/>
  <c r="P122" i="6"/>
  <c r="L122" i="6"/>
  <c r="H122" i="6"/>
  <c r="D107" i="6"/>
  <c r="D105" i="6"/>
  <c r="I108" i="6"/>
  <c r="J12" i="10" s="1"/>
  <c r="D100" i="6"/>
  <c r="R100" i="6"/>
  <c r="M101" i="6"/>
  <c r="N11" i="10" s="1"/>
  <c r="D98" i="6"/>
  <c r="R98" i="6"/>
  <c r="E101" i="6"/>
  <c r="D93" i="6"/>
  <c r="R93" i="6"/>
  <c r="D91" i="6"/>
  <c r="R91" i="6"/>
  <c r="N95" i="6"/>
  <c r="O10" i="10" s="1"/>
  <c r="F81" i="6"/>
  <c r="G9" i="10" s="1"/>
  <c r="F71" i="6"/>
  <c r="F64" i="6"/>
  <c r="G8" i="10" s="1"/>
  <c r="N57" i="6"/>
  <c r="N46" i="6" s="1"/>
  <c r="J21" i="6"/>
  <c r="J38" i="6"/>
  <c r="J23" i="6" s="1"/>
  <c r="O136" i="6"/>
  <c r="P29" i="10" s="1"/>
  <c r="K136" i="6"/>
  <c r="L29" i="10" s="1"/>
  <c r="G136" i="6"/>
  <c r="H29" i="10" s="1"/>
  <c r="O131" i="6"/>
  <c r="K131" i="6"/>
  <c r="G131" i="6"/>
  <c r="O122" i="6"/>
  <c r="K122" i="6"/>
  <c r="G122" i="6"/>
  <c r="N108" i="6"/>
  <c r="O12" i="10" s="1"/>
  <c r="F108" i="6"/>
  <c r="G12" i="10" s="1"/>
  <c r="J101" i="6"/>
  <c r="K11" i="10" s="1"/>
  <c r="J95" i="6"/>
  <c r="K10" i="10" s="1"/>
  <c r="J72" i="6"/>
  <c r="N45" i="6"/>
  <c r="J57" i="6"/>
  <c r="J46" i="6" s="1"/>
  <c r="F21" i="6"/>
  <c r="N22" i="6"/>
  <c r="F38" i="6"/>
  <c r="F23" i="6" s="1"/>
  <c r="D88" i="6"/>
  <c r="R88" i="6"/>
  <c r="M95" i="6"/>
  <c r="N10" i="10" s="1"/>
  <c r="I95" i="6"/>
  <c r="J10" i="10" s="1"/>
  <c r="D87" i="6"/>
  <c r="R87" i="6"/>
  <c r="E95" i="6"/>
  <c r="D80" i="6"/>
  <c r="R80" i="6"/>
  <c r="D79" i="6"/>
  <c r="R79" i="6"/>
  <c r="D78" i="6"/>
  <c r="R78" i="6"/>
  <c r="D77" i="6"/>
  <c r="R77" i="6"/>
  <c r="D76" i="6"/>
  <c r="R76" i="6"/>
  <c r="M81" i="6"/>
  <c r="N9" i="10" s="1"/>
  <c r="I81" i="6"/>
  <c r="J9" i="10" s="1"/>
  <c r="D75" i="6"/>
  <c r="R75" i="6"/>
  <c r="R81" i="6" s="1"/>
  <c r="E81" i="6"/>
  <c r="D63" i="6"/>
  <c r="R63" i="6"/>
  <c r="I72" i="6"/>
  <c r="E72" i="6"/>
  <c r="D62" i="6"/>
  <c r="R62" i="6"/>
  <c r="R72" i="6" s="1"/>
  <c r="D61" i="6"/>
  <c r="R61" i="6"/>
  <c r="M64" i="6"/>
  <c r="N8" i="10" s="1"/>
  <c r="I64" i="6"/>
  <c r="J8" i="10" s="1"/>
  <c r="E71" i="6"/>
  <c r="D60" i="6"/>
  <c r="R60" i="6"/>
  <c r="R71" i="6" s="1"/>
  <c r="E64" i="6"/>
  <c r="M45" i="6"/>
  <c r="I45" i="6"/>
  <c r="E45" i="6"/>
  <c r="D56" i="6"/>
  <c r="R56" i="6"/>
  <c r="D55" i="6"/>
  <c r="R55" i="6"/>
  <c r="D54" i="6"/>
  <c r="R54" i="6"/>
  <c r="D52" i="6"/>
  <c r="R52" i="6"/>
  <c r="M57" i="6"/>
  <c r="M46" i="6" s="1"/>
  <c r="I57" i="6"/>
  <c r="I46" i="6" s="1"/>
  <c r="D50" i="6"/>
  <c r="R50" i="6"/>
  <c r="R57" i="6" s="1"/>
  <c r="E57" i="6"/>
  <c r="M21" i="6"/>
  <c r="I21" i="6"/>
  <c r="E21" i="6"/>
  <c r="D35" i="6"/>
  <c r="R35" i="6"/>
  <c r="D34" i="6"/>
  <c r="R34" i="6"/>
  <c r="M22" i="6"/>
  <c r="I22" i="6"/>
  <c r="E22" i="6"/>
  <c r="D33" i="6"/>
  <c r="R33" i="6"/>
  <c r="D32" i="6"/>
  <c r="R32" i="6"/>
  <c r="D31" i="6"/>
  <c r="R31" i="6"/>
  <c r="D30" i="6"/>
  <c r="R30" i="6"/>
  <c r="D29" i="6"/>
  <c r="R29" i="6"/>
  <c r="D28" i="6"/>
  <c r="M38" i="6"/>
  <c r="M23" i="6" s="1"/>
  <c r="I38" i="6"/>
  <c r="I23" i="6" s="1"/>
  <c r="P108" i="6"/>
  <c r="Q12" i="10" s="1"/>
  <c r="L108" i="6"/>
  <c r="M12" i="10" s="1"/>
  <c r="H108" i="6"/>
  <c r="I12" i="10" s="1"/>
  <c r="P101" i="6"/>
  <c r="Q11" i="10" s="1"/>
  <c r="L101" i="6"/>
  <c r="M11" i="10" s="1"/>
  <c r="H101" i="6"/>
  <c r="I11" i="10" s="1"/>
  <c r="P95" i="6"/>
  <c r="Q10" i="10" s="1"/>
  <c r="L95" i="6"/>
  <c r="M10" i="10" s="1"/>
  <c r="H95" i="6"/>
  <c r="I10" i="10" s="1"/>
  <c r="P81" i="6"/>
  <c r="Q9" i="10" s="1"/>
  <c r="L81" i="6"/>
  <c r="M9" i="10" s="1"/>
  <c r="H81" i="6"/>
  <c r="I9" i="10" s="1"/>
  <c r="L72" i="6"/>
  <c r="H72" i="6"/>
  <c r="P64" i="6"/>
  <c r="Q8" i="10" s="1"/>
  <c r="L71" i="6"/>
  <c r="L64" i="6"/>
  <c r="M8" i="10" s="1"/>
  <c r="H64" i="6"/>
  <c r="I8" i="10" s="1"/>
  <c r="P45" i="6"/>
  <c r="L45" i="6"/>
  <c r="H45" i="6"/>
  <c r="L57" i="6"/>
  <c r="L46" i="6" s="1"/>
  <c r="H57" i="6"/>
  <c r="H46" i="6" s="1"/>
  <c r="P21" i="6"/>
  <c r="L21" i="6"/>
  <c r="H21" i="6"/>
  <c r="P22" i="6"/>
  <c r="L22" i="6"/>
  <c r="H22" i="6"/>
  <c r="P38" i="6"/>
  <c r="P23" i="6" s="1"/>
  <c r="L38" i="6"/>
  <c r="L23" i="6" s="1"/>
  <c r="L83" i="6" s="1"/>
  <c r="L140" i="6" s="1"/>
  <c r="H38" i="6"/>
  <c r="H23" i="6" s="1"/>
  <c r="O108" i="6"/>
  <c r="P12" i="10" s="1"/>
  <c r="K108" i="6"/>
  <c r="L12" i="10" s="1"/>
  <c r="G108" i="6"/>
  <c r="H12" i="10" s="1"/>
  <c r="O101" i="6"/>
  <c r="P11" i="10" s="1"/>
  <c r="K101" i="6"/>
  <c r="L11" i="10" s="1"/>
  <c r="G101" i="6"/>
  <c r="H11" i="10" s="1"/>
  <c r="O95" i="6"/>
  <c r="P10" i="10" s="1"/>
  <c r="K95" i="6"/>
  <c r="L10" i="10" s="1"/>
  <c r="G95" i="6"/>
  <c r="H10" i="10" s="1"/>
  <c r="O81" i="6"/>
  <c r="P9" i="10" s="1"/>
  <c r="K81" i="6"/>
  <c r="L9" i="10" s="1"/>
  <c r="G81" i="6"/>
  <c r="H9" i="10" s="1"/>
  <c r="K72" i="6"/>
  <c r="G72" i="6"/>
  <c r="O64" i="6"/>
  <c r="P8" i="10" s="1"/>
  <c r="K71" i="6"/>
  <c r="K64" i="6"/>
  <c r="L8" i="10" s="1"/>
  <c r="G71" i="6"/>
  <c r="G64" i="6"/>
  <c r="H8" i="10" s="1"/>
  <c r="O45" i="6"/>
  <c r="K45" i="6"/>
  <c r="G45" i="6"/>
  <c r="O57" i="6"/>
  <c r="O46" i="6" s="1"/>
  <c r="K57" i="6"/>
  <c r="K46" i="6" s="1"/>
  <c r="G57" i="6"/>
  <c r="G46" i="6" s="1"/>
  <c r="O21" i="6"/>
  <c r="K21" i="6"/>
  <c r="G21" i="6"/>
  <c r="O22" i="6"/>
  <c r="K22" i="6"/>
  <c r="G22" i="6"/>
  <c r="O38" i="6"/>
  <c r="O23" i="6" s="1"/>
  <c r="K38" i="6"/>
  <c r="K23" i="6" s="1"/>
  <c r="G38" i="6"/>
  <c r="Q7" i="10"/>
  <c r="P41" i="6"/>
  <c r="D122" i="6"/>
  <c r="E138" i="6"/>
  <c r="L126" i="6"/>
  <c r="L138" i="6" s="1"/>
  <c r="M25" i="10" s="1"/>
  <c r="I41" i="6"/>
  <c r="J7" i="10"/>
  <c r="F8" i="10"/>
  <c r="D8" i="10" s="1"/>
  <c r="R64" i="6"/>
  <c r="D64" i="6"/>
  <c r="F11" i="10"/>
  <c r="D11" i="10" s="1"/>
  <c r="D101" i="6"/>
  <c r="R101" i="6"/>
  <c r="R38" i="6" l="1"/>
  <c r="D12" i="10"/>
  <c r="G23" i="6"/>
  <c r="D23" i="6" s="1"/>
  <c r="D38" i="6"/>
  <c r="H6" i="10"/>
  <c r="G7" i="6"/>
  <c r="K83" i="6"/>
  <c r="L6" i="10"/>
  <c r="L13" i="10" s="1"/>
  <c r="L24" i="10" s="1"/>
  <c r="K126" i="6"/>
  <c r="K138" i="6" s="1"/>
  <c r="L25" i="10" s="1"/>
  <c r="K7" i="6"/>
  <c r="O140" i="6"/>
  <c r="O7" i="6"/>
  <c r="O126" i="6"/>
  <c r="O138" i="6" s="1"/>
  <c r="P25" i="10" s="1"/>
  <c r="P6" i="10"/>
  <c r="O83" i="6"/>
  <c r="G41" i="6"/>
  <c r="H7" i="10"/>
  <c r="L7" i="10"/>
  <c r="K41" i="6"/>
  <c r="P7" i="10"/>
  <c r="O41" i="6"/>
  <c r="I6" i="10"/>
  <c r="H126" i="6"/>
  <c r="H138" i="6" s="1"/>
  <c r="I25" i="10" s="1"/>
  <c r="H83" i="6"/>
  <c r="H140" i="6" s="1"/>
  <c r="H7" i="6"/>
  <c r="M6" i="10"/>
  <c r="L7" i="6"/>
  <c r="P140" i="6"/>
  <c r="P7" i="6"/>
  <c r="P83" i="6"/>
  <c r="P126" i="6"/>
  <c r="P138" i="6" s="1"/>
  <c r="Q25" i="10" s="1"/>
  <c r="Q6" i="10"/>
  <c r="Q13" i="10" s="1"/>
  <c r="H41" i="6"/>
  <c r="I7" i="10"/>
  <c r="I13" i="10" s="1"/>
  <c r="M7" i="10"/>
  <c r="M13" i="10" s="1"/>
  <c r="L41" i="6"/>
  <c r="J6" i="10"/>
  <c r="J13" i="10" s="1"/>
  <c r="I7" i="6"/>
  <c r="I126" i="6"/>
  <c r="I138" i="6" s="1"/>
  <c r="J25" i="10" s="1"/>
  <c r="I83" i="6"/>
  <c r="I140" i="6" s="1"/>
  <c r="M7" i="6"/>
  <c r="M126" i="6"/>
  <c r="M83" i="6"/>
  <c r="M140" i="6" s="1"/>
  <c r="N6" i="10"/>
  <c r="M138" i="6"/>
  <c r="N25" i="10" s="1"/>
  <c r="D22" i="6"/>
  <c r="R22" i="6"/>
  <c r="D21" i="6"/>
  <c r="R21" i="6"/>
  <c r="E46" i="6"/>
  <c r="E83" i="6" s="1"/>
  <c r="D57" i="6"/>
  <c r="N7" i="10"/>
  <c r="M41" i="6"/>
  <c r="R45" i="6"/>
  <c r="D45" i="6"/>
  <c r="D81" i="6"/>
  <c r="F9" i="10"/>
  <c r="D9" i="10" s="1"/>
  <c r="F10" i="10"/>
  <c r="D10" i="10" s="1"/>
  <c r="R95" i="6"/>
  <c r="D95" i="6"/>
  <c r="F83" i="6"/>
  <c r="F140" i="6" s="1"/>
  <c r="F7" i="6"/>
  <c r="G6" i="10"/>
  <c r="F126" i="6"/>
  <c r="F138" i="6" s="1"/>
  <c r="K7" i="10"/>
  <c r="J41" i="6"/>
  <c r="J126" i="6"/>
  <c r="J138" i="6" s="1"/>
  <c r="K25" i="10" s="1"/>
  <c r="J83" i="6"/>
  <c r="J140" i="6" s="1"/>
  <c r="J7" i="6"/>
  <c r="K6" i="10"/>
  <c r="K13" i="10" s="1"/>
  <c r="O7" i="10"/>
  <c r="N41" i="6"/>
  <c r="O6" i="10"/>
  <c r="O13" i="10" s="1"/>
  <c r="N138" i="6"/>
  <c r="O25" i="10" s="1"/>
  <c r="N83" i="6"/>
  <c r="N140" i="6"/>
  <c r="N126" i="6"/>
  <c r="N7" i="6"/>
  <c r="R131" i="6"/>
  <c r="D131" i="6"/>
  <c r="F29" i="10"/>
  <c r="D29" i="10" s="1"/>
  <c r="D136" i="6"/>
  <c r="G7" i="10"/>
  <c r="F41" i="6"/>
  <c r="F25" i="10"/>
  <c r="E140" i="6"/>
  <c r="G126" i="6" l="1"/>
  <c r="G83" i="6"/>
  <c r="D83" i="6" s="1"/>
  <c r="N13" i="10"/>
  <c r="N41" i="10" s="1"/>
  <c r="P13" i="10"/>
  <c r="L26" i="10"/>
  <c r="L28" i="10" s="1"/>
  <c r="L31" i="10" s="1"/>
  <c r="K140" i="6"/>
  <c r="G13" i="10"/>
  <c r="G26" i="10" s="1"/>
  <c r="G28" i="10" s="1"/>
  <c r="G31" i="10" s="1"/>
  <c r="D7" i="6"/>
  <c r="R7" i="6"/>
  <c r="R23" i="6" s="1"/>
  <c r="H13" i="10"/>
  <c r="H24" i="10" s="1"/>
  <c r="D6" i="10"/>
  <c r="G138" i="6"/>
  <c r="D126" i="6"/>
  <c r="R126" i="6"/>
  <c r="J24" i="10"/>
  <c r="J26" i="10" s="1"/>
  <c r="J28" i="10" s="1"/>
  <c r="J31" i="10" s="1"/>
  <c r="M24" i="10"/>
  <c r="M26" i="10"/>
  <c r="M28" i="10" s="1"/>
  <c r="M31" i="10" s="1"/>
  <c r="Q24" i="10"/>
  <c r="Q26" i="10"/>
  <c r="Q28" i="10" s="1"/>
  <c r="Q31" i="10" s="1"/>
  <c r="Q33" i="10"/>
  <c r="Q34" i="10"/>
  <c r="Q36" i="10"/>
  <c r="Q35" i="10"/>
  <c r="Q38" i="10"/>
  <c r="Q39" i="10" s="1"/>
  <c r="Q40" i="10" s="1"/>
  <c r="Q37" i="10"/>
  <c r="Q41" i="10"/>
  <c r="O39" i="10"/>
  <c r="O40" i="10" s="1"/>
  <c r="O41" i="10"/>
  <c r="O24" i="10"/>
  <c r="O26" i="10"/>
  <c r="O28" i="10" s="1"/>
  <c r="O36" i="10"/>
  <c r="O33" i="10"/>
  <c r="O34" i="10"/>
  <c r="O35" i="10"/>
  <c r="O31" i="10"/>
  <c r="O37" i="10"/>
  <c r="O38" i="10"/>
  <c r="K24" i="10"/>
  <c r="K26" i="10" s="1"/>
  <c r="K28" i="10" s="1"/>
  <c r="K31" i="10" s="1"/>
  <c r="G25" i="10"/>
  <c r="R138" i="6"/>
  <c r="G24" i="10"/>
  <c r="F7" i="10"/>
  <c r="E41" i="6"/>
  <c r="D46" i="6"/>
  <c r="I24" i="10"/>
  <c r="I26" i="10"/>
  <c r="I28" i="10" s="1"/>
  <c r="I31" i="10" s="1"/>
  <c r="P36" i="10"/>
  <c r="P34" i="10"/>
  <c r="P39" i="10"/>
  <c r="P40" i="10" s="1"/>
  <c r="P41" i="10"/>
  <c r="N39" i="10" l="1"/>
  <c r="N40" i="10" s="1"/>
  <c r="G140" i="6"/>
  <c r="D140" i="6" s="1"/>
  <c r="N35" i="10"/>
  <c r="N36" i="10"/>
  <c r="N34" i="10"/>
  <c r="N24" i="10"/>
  <c r="N26" i="10"/>
  <c r="N28" i="10" s="1"/>
  <c r="N31" i="10"/>
  <c r="N33" i="10"/>
  <c r="N37" i="10"/>
  <c r="N38" i="10"/>
  <c r="P35" i="10"/>
  <c r="P24" i="10"/>
  <c r="P26" i="10" s="1"/>
  <c r="P28" i="10" s="1"/>
  <c r="P31" i="10" s="1"/>
  <c r="P33" i="10"/>
  <c r="P37" i="10"/>
  <c r="P38" i="10"/>
  <c r="D7" i="10"/>
  <c r="F13" i="10"/>
  <c r="H25" i="10"/>
  <c r="D138" i="6"/>
  <c r="R41" i="6"/>
  <c r="R46" i="6" s="1"/>
  <c r="R83" i="6" s="1"/>
  <c r="D41" i="6"/>
  <c r="D25" i="10" l="1"/>
  <c r="H26" i="10"/>
  <c r="H28" i="10" s="1"/>
  <c r="H31" i="10" s="1"/>
  <c r="F24" i="10"/>
  <c r="D13" i="10"/>
  <c r="D24" i="10" l="1"/>
  <c r="F26" i="10"/>
  <c r="F28" i="10" l="1"/>
  <c r="D26" i="10"/>
  <c r="D28" i="10" l="1"/>
  <c r="F31" i="10"/>
  <c r="D31" i="10" l="1"/>
  <c r="F33" i="10"/>
  <c r="G33" i="10" l="1"/>
  <c r="F34" i="10"/>
  <c r="F38" i="10" s="1"/>
  <c r="F35" i="10"/>
  <c r="F36" i="10"/>
  <c r="F39" i="10" l="1"/>
  <c r="F40" i="10" s="1"/>
  <c r="F41" i="10"/>
  <c r="F37" i="10"/>
  <c r="H33" i="10"/>
  <c r="G36" i="10"/>
  <c r="G35" i="10"/>
  <c r="G38" i="10" s="1"/>
  <c r="G39" i="10" s="1"/>
  <c r="G40" i="10" s="1"/>
  <c r="G34" i="10"/>
  <c r="G37" i="10" l="1"/>
  <c r="G41" i="10"/>
  <c r="I33" i="10"/>
  <c r="I35" i="10" s="1"/>
  <c r="H34" i="10"/>
  <c r="H36" i="10"/>
  <c r="H35" i="10"/>
  <c r="J33" i="10"/>
  <c r="I36" i="10"/>
  <c r="I34" i="10"/>
  <c r="I38" i="10" l="1"/>
  <c r="I41" i="10"/>
  <c r="I37" i="10"/>
  <c r="H38" i="10"/>
  <c r="H37" i="10"/>
  <c r="K33" i="10"/>
  <c r="L33" i="10" s="1"/>
  <c r="M33" i="10" s="1"/>
  <c r="J36" i="10"/>
  <c r="J34" i="10"/>
  <c r="J35" i="10"/>
  <c r="L34" i="10"/>
  <c r="L38" i="10" s="1"/>
  <c r="L36" i="10"/>
  <c r="L35" i="10"/>
  <c r="J38" i="10" l="1"/>
  <c r="J41" i="10" s="1"/>
  <c r="J39" i="10"/>
  <c r="J40" i="10" s="1"/>
  <c r="H39" i="10"/>
  <c r="H40" i="10" s="1"/>
  <c r="H41" i="10"/>
  <c r="L41" i="10"/>
  <c r="J37" i="10"/>
  <c r="I39" i="10"/>
  <c r="I40" i="10" s="1"/>
  <c r="K36" i="10"/>
  <c r="K34" i="10"/>
  <c r="K35" i="10"/>
  <c r="M35" i="10"/>
  <c r="M34" i="10"/>
  <c r="M36" i="10"/>
  <c r="M38" i="10" s="1"/>
  <c r="M39" i="10" s="1"/>
  <c r="M40" i="10" s="1"/>
  <c r="L37" i="10"/>
  <c r="K38" i="10" l="1"/>
  <c r="K39" i="10" s="1"/>
  <c r="K40" i="10" s="1"/>
  <c r="M41" i="10"/>
  <c r="K37" i="10"/>
  <c r="L39" i="10"/>
  <c r="L40" i="10" s="1"/>
  <c r="M37" i="10"/>
  <c r="D40" i="10" l="1"/>
  <c r="K41" i="10"/>
</calcChain>
</file>

<file path=xl/comments1.xml><?xml version="1.0" encoding="utf-8"?>
<comments xmlns="http://schemas.openxmlformats.org/spreadsheetml/2006/main">
  <authors>
    <author>CKettner</author>
    <author>tmm8381</author>
    <author>gaa9730</author>
    <author>Kettner, Cheryl</author>
  </authors>
  <commentList>
    <comment ref="B6" authorId="0" shapeId="0">
      <text>
        <r>
          <rPr>
            <b/>
            <sz val="9"/>
            <color indexed="81"/>
            <rFont val="Tahoma"/>
            <family val="2"/>
          </rPr>
          <t>CKettner:</t>
        </r>
        <r>
          <rPr>
            <sz val="9"/>
            <color indexed="81"/>
            <rFont val="Tahoma"/>
            <family val="2"/>
          </rPr>
          <t xml:space="preserve">
Should be a negative number
</t>
        </r>
      </text>
    </comment>
    <comment ref="B9" authorId="0" shapeId="0">
      <text>
        <r>
          <rPr>
            <b/>
            <sz val="9"/>
            <color indexed="81"/>
            <rFont val="Tahoma"/>
            <family val="2"/>
          </rPr>
          <t>CKettner:</t>
        </r>
        <r>
          <rPr>
            <sz val="9"/>
            <color indexed="81"/>
            <rFont val="Tahoma"/>
            <family val="2"/>
          </rPr>
          <t xml:space="preserve">
Should be a negative number
</t>
        </r>
      </text>
    </comment>
    <comment ref="B19" authorId="1" shapeId="0">
      <text>
        <r>
          <rPr>
            <sz val="9"/>
            <color indexed="81"/>
            <rFont val="Tahoma"/>
            <family val="2"/>
          </rPr>
          <t>PWRCAP deal 100105</t>
        </r>
      </text>
    </comment>
    <comment ref="B20" authorId="1" shapeId="0">
      <text>
        <r>
          <rPr>
            <b/>
            <sz val="9"/>
            <color indexed="81"/>
            <rFont val="Tahoma"/>
            <family val="2"/>
          </rPr>
          <t>tmm8381:</t>
        </r>
        <r>
          <rPr>
            <sz val="9"/>
            <color indexed="81"/>
            <rFont val="Tahoma"/>
            <family val="2"/>
          </rPr>
          <t xml:space="preserve">
Power, deal 107240</t>
        </r>
      </text>
    </comment>
    <comment ref="B22" authorId="1" shapeId="0">
      <text>
        <r>
          <rPr>
            <b/>
            <sz val="9"/>
            <color indexed="81"/>
            <rFont val="Tahoma"/>
            <family val="2"/>
          </rPr>
          <t>tmm8381:</t>
        </r>
        <r>
          <rPr>
            <sz val="9"/>
            <color indexed="81"/>
            <rFont val="Tahoma"/>
            <family val="2"/>
          </rPr>
          <t xml:space="preserve">
PWRCAP deal 100085</t>
        </r>
      </text>
    </comment>
    <comment ref="B23" authorId="0" shapeId="0">
      <text>
        <r>
          <rPr>
            <b/>
            <sz val="9"/>
            <color indexed="81"/>
            <rFont val="Tahoma"/>
            <family val="2"/>
          </rPr>
          <t>CKettner:</t>
        </r>
        <r>
          <rPr>
            <sz val="9"/>
            <color indexed="81"/>
            <rFont val="Tahoma"/>
            <family val="2"/>
          </rPr>
          <t xml:space="preserve">
Per the PTR</t>
        </r>
      </text>
    </comment>
    <comment ref="B24" authorId="1" shapeId="0">
      <text>
        <r>
          <rPr>
            <b/>
            <sz val="9"/>
            <color indexed="81"/>
            <rFont val="Tahoma"/>
            <family val="2"/>
          </rPr>
          <t>tmm8381:</t>
        </r>
        <r>
          <rPr>
            <sz val="9"/>
            <color indexed="81"/>
            <rFont val="Tahoma"/>
            <family val="2"/>
          </rPr>
          <t xml:space="preserve">
ACCTPW deal 100137</t>
        </r>
      </text>
    </comment>
    <comment ref="P25" authorId="2" shapeId="0">
      <text>
        <r>
          <rPr>
            <b/>
            <sz val="8"/>
            <color indexed="81"/>
            <rFont val="Tahoma"/>
            <family val="2"/>
          </rPr>
          <t>gaa9730:</t>
        </r>
        <r>
          <rPr>
            <sz val="8"/>
            <color indexed="81"/>
            <rFont val="Tahoma"/>
            <family val="2"/>
          </rPr>
          <t xml:space="preserve">
Add these together</t>
        </r>
      </text>
    </comment>
    <comment ref="B35" authorId="1" shapeId="0">
      <text>
        <r>
          <rPr>
            <b/>
            <sz val="9"/>
            <color indexed="81"/>
            <rFont val="Tahoma"/>
            <family val="2"/>
          </rPr>
          <t>tmm8381:</t>
        </r>
        <r>
          <rPr>
            <sz val="9"/>
            <color indexed="81"/>
            <rFont val="Tahoma"/>
            <family val="2"/>
          </rPr>
          <t xml:space="preserve">
Power deal 185895</t>
        </r>
      </text>
    </comment>
    <comment ref="B37" authorId="1" shapeId="0">
      <text>
        <r>
          <rPr>
            <b/>
            <sz val="9"/>
            <color indexed="81"/>
            <rFont val="Tahoma"/>
            <family val="2"/>
          </rPr>
          <t>tmm8381:</t>
        </r>
        <r>
          <rPr>
            <sz val="9"/>
            <color indexed="81"/>
            <rFont val="Tahoma"/>
            <family val="2"/>
          </rPr>
          <t xml:space="preserve">
Power deal 223063</t>
        </r>
      </text>
    </comment>
    <comment ref="B38" authorId="0" shapeId="0">
      <text>
        <r>
          <rPr>
            <b/>
            <sz val="9"/>
            <color indexed="81"/>
            <rFont val="Tahoma"/>
            <family val="2"/>
          </rPr>
          <t>CKettner:</t>
        </r>
        <r>
          <rPr>
            <sz val="9"/>
            <color indexed="81"/>
            <rFont val="Tahoma"/>
            <family val="2"/>
          </rPr>
          <t xml:space="preserve">
Agreement with Clearwater to serve load at Ahsahka</t>
        </r>
      </text>
    </comment>
    <comment ref="B39" authorId="1" shapeId="0">
      <text>
        <r>
          <rPr>
            <b/>
            <sz val="9"/>
            <color indexed="81"/>
            <rFont val="Tahoma"/>
            <family val="2"/>
          </rPr>
          <t>tmm8381:</t>
        </r>
        <r>
          <rPr>
            <sz val="9"/>
            <color indexed="81"/>
            <rFont val="Tahoma"/>
            <family val="2"/>
          </rPr>
          <t xml:space="preserve">
Power "Lancaster CT"</t>
        </r>
      </text>
    </comment>
    <comment ref="B40" authorId="1" shapeId="0">
      <text>
        <r>
          <rPr>
            <b/>
            <sz val="9"/>
            <color indexed="81"/>
            <rFont val="Tahoma"/>
            <family val="2"/>
          </rPr>
          <t>tmm8381:</t>
        </r>
        <r>
          <rPr>
            <sz val="9"/>
            <color indexed="81"/>
            <rFont val="Tahoma"/>
            <family val="2"/>
          </rPr>
          <t xml:space="preserve">
Power deal 181462
</t>
        </r>
      </text>
    </comment>
    <comment ref="B42" authorId="0" shapeId="0">
      <text>
        <r>
          <rPr>
            <b/>
            <sz val="9"/>
            <color indexed="81"/>
            <rFont val="Tahoma"/>
            <family val="2"/>
          </rPr>
          <t>CKettner:</t>
        </r>
        <r>
          <rPr>
            <sz val="9"/>
            <color indexed="81"/>
            <rFont val="Tahoma"/>
            <family val="2"/>
          </rPr>
          <t xml:space="preserve">
Volumes used are from the annual WNP-3 Settlement Agreement, along with the Mid-point price and the contract price.</t>
        </r>
      </text>
    </comment>
    <comment ref="C42" authorId="0" shapeId="0">
      <text>
        <r>
          <rPr>
            <b/>
            <sz val="9"/>
            <color indexed="81"/>
            <rFont val="Tahoma"/>
            <family val="2"/>
          </rPr>
          <t>CKettner:</t>
        </r>
        <r>
          <rPr>
            <sz val="9"/>
            <color indexed="81"/>
            <rFont val="Tahoma"/>
            <family val="2"/>
          </rPr>
          <t xml:space="preserve">
Mid Point price of $46.15 minus the contract price of $45.61.(2018-2019)
</t>
        </r>
      </text>
    </comment>
    <comment ref="D42" authorId="0" shapeId="0">
      <text>
        <r>
          <rPr>
            <b/>
            <sz val="9"/>
            <color indexed="81"/>
            <rFont val="Tahoma"/>
            <family val="2"/>
          </rPr>
          <t>CKettner:</t>
        </r>
        <r>
          <rPr>
            <sz val="9"/>
            <color indexed="81"/>
            <rFont val="Tahoma"/>
            <family val="2"/>
          </rPr>
          <t xml:space="preserve">
Mid Point price of $46.15 minus the contract price of $45.61.(2018-2019)
</t>
        </r>
      </text>
    </comment>
    <comment ref="E42" authorId="0" shapeId="0">
      <text>
        <r>
          <rPr>
            <b/>
            <sz val="9"/>
            <color indexed="81"/>
            <rFont val="Tahoma"/>
            <family val="2"/>
          </rPr>
          <t>CKettner:</t>
        </r>
        <r>
          <rPr>
            <sz val="9"/>
            <color indexed="81"/>
            <rFont val="Tahoma"/>
            <family val="2"/>
          </rPr>
          <t xml:space="preserve">
Mid Point price of $46.15 minus the contract price of $45.61.(2018-2019)
</t>
        </r>
      </text>
    </comment>
    <comment ref="F42" authorId="0" shapeId="0">
      <text>
        <r>
          <rPr>
            <b/>
            <sz val="9"/>
            <color indexed="81"/>
            <rFont val="Tahoma"/>
            <family val="2"/>
          </rPr>
          <t>CKettner:</t>
        </r>
        <r>
          <rPr>
            <sz val="9"/>
            <color indexed="81"/>
            <rFont val="Tahoma"/>
            <family val="2"/>
          </rPr>
          <t xml:space="preserve">
Mid Point price of $46.15 minus the contract price of $45.61.(2018-2019)
</t>
        </r>
      </text>
    </comment>
    <comment ref="M42" authorId="0" shapeId="0">
      <text>
        <r>
          <rPr>
            <b/>
            <sz val="9"/>
            <color indexed="81"/>
            <rFont val="Tahoma"/>
            <family val="2"/>
          </rPr>
          <t>CKettner:</t>
        </r>
        <r>
          <rPr>
            <sz val="9"/>
            <color indexed="81"/>
            <rFont val="Tahoma"/>
            <family val="2"/>
          </rPr>
          <t xml:space="preserve">
Update when Eric Scott provides us with the new contract numbers.  Usually late August.
Mid Point price of $46.15 minus the contract price of $45.61.(2018-2019)
</t>
        </r>
      </text>
    </comment>
    <comment ref="N42" authorId="0" shapeId="0">
      <text>
        <r>
          <rPr>
            <b/>
            <sz val="9"/>
            <color indexed="81"/>
            <rFont val="Tahoma"/>
            <family val="2"/>
          </rPr>
          <t>CKettner:</t>
        </r>
        <r>
          <rPr>
            <sz val="9"/>
            <color indexed="81"/>
            <rFont val="Tahoma"/>
            <family val="2"/>
          </rPr>
          <t xml:space="preserve">
Update when Eric Scott provides us with the new contract numbers.  Usually late August.
Mid Point price of $46.15 minus the contract price of $45.61.(2018-2019)
</t>
        </r>
      </text>
    </comment>
    <comment ref="B45" authorId="3" shapeId="0">
      <text>
        <r>
          <rPr>
            <b/>
            <sz val="9"/>
            <color indexed="81"/>
            <rFont val="Tahoma"/>
            <family val="2"/>
          </rPr>
          <t>Kettner, Cheryl:</t>
        </r>
        <r>
          <rPr>
            <sz val="9"/>
            <color indexed="81"/>
            <rFont val="Tahoma"/>
            <family val="2"/>
          </rPr>
          <t xml:space="preserve">
Enter as negative number</t>
        </r>
      </text>
    </comment>
    <comment ref="B46" authorId="3" shapeId="0">
      <text>
        <r>
          <rPr>
            <b/>
            <sz val="9"/>
            <color indexed="81"/>
            <rFont val="Tahoma"/>
            <family val="2"/>
          </rPr>
          <t>Kettner, Cheryl:</t>
        </r>
        <r>
          <rPr>
            <sz val="9"/>
            <color indexed="81"/>
            <rFont val="Tahoma"/>
            <family val="2"/>
          </rPr>
          <t xml:space="preserve">
Enter as negative number</t>
        </r>
      </text>
    </comment>
    <comment ref="B47" authorId="3" shapeId="0">
      <text>
        <r>
          <rPr>
            <b/>
            <sz val="9"/>
            <color indexed="81"/>
            <rFont val="Tahoma"/>
            <family val="2"/>
          </rPr>
          <t>Kettner, Cheryl:</t>
        </r>
        <r>
          <rPr>
            <sz val="9"/>
            <color indexed="81"/>
            <rFont val="Tahoma"/>
            <family val="2"/>
          </rPr>
          <t xml:space="preserve">
Enter as negative number</t>
        </r>
      </text>
    </comment>
    <comment ref="B50" authorId="0" shapeId="0">
      <text>
        <r>
          <rPr>
            <b/>
            <sz val="9"/>
            <color indexed="81"/>
            <rFont val="Tahoma"/>
            <family val="2"/>
          </rPr>
          <t>CKettner:</t>
        </r>
        <r>
          <rPr>
            <sz val="9"/>
            <color indexed="81"/>
            <rFont val="Tahoma"/>
            <family val="2"/>
          </rPr>
          <t xml:space="preserve">
H:\Generation\KFGS Hog Fuel\KFGS YYYY\YYYY KFGS SAUP.xlsx\SAUP</t>
        </r>
      </text>
    </comment>
    <comment ref="F50" authorId="3" shapeId="0">
      <text>
        <r>
          <rPr>
            <b/>
            <sz val="9"/>
            <color indexed="81"/>
            <rFont val="Tahoma"/>
            <family val="2"/>
          </rPr>
          <t>Kettner, Cheryl:</t>
        </r>
        <r>
          <rPr>
            <sz val="9"/>
            <color indexed="81"/>
            <rFont val="Tahoma"/>
            <family val="2"/>
          </rPr>
          <t xml:space="preserve">
Plant was not operating in April</t>
        </r>
      </text>
    </comment>
    <comment ref="G50" authorId="3" shapeId="0">
      <text>
        <r>
          <rPr>
            <b/>
            <sz val="9"/>
            <color indexed="81"/>
            <rFont val="Tahoma"/>
            <family val="2"/>
          </rPr>
          <t>Kettner, Cheryl:</t>
        </r>
        <r>
          <rPr>
            <sz val="9"/>
            <color indexed="81"/>
            <rFont val="Tahoma"/>
            <family val="2"/>
          </rPr>
          <t xml:space="preserve">
Plant was not operating in May</t>
        </r>
      </text>
    </comment>
    <comment ref="B51" authorId="0" shapeId="0">
      <text>
        <r>
          <rPr>
            <b/>
            <sz val="9"/>
            <color indexed="81"/>
            <rFont val="Tahoma"/>
            <family val="2"/>
          </rPr>
          <t>CKettner:</t>
        </r>
        <r>
          <rPr>
            <sz val="9"/>
            <color indexed="81"/>
            <rFont val="Tahoma"/>
            <family val="2"/>
          </rPr>
          <t xml:space="preserve">
H:\Generation\Colstrip\Colstrip Fuel\YYYY Colstrip Fuel\YYYY Colstrip Fuel.xlsx\COLSTRIP</t>
        </r>
      </text>
    </comment>
    <comment ref="B54" authorId="0" shapeId="0">
      <text>
        <r>
          <rPr>
            <b/>
            <sz val="9"/>
            <color indexed="81"/>
            <rFont val="Tahoma"/>
            <family val="2"/>
          </rPr>
          <t>CKettner:</t>
        </r>
        <r>
          <rPr>
            <sz val="9"/>
            <color indexed="81"/>
            <rFont val="Tahoma"/>
            <family val="2"/>
          </rPr>
          <t xml:space="preserve">
From Cognos, Revenue by Revenue Class Report</t>
        </r>
      </text>
    </comment>
    <comment ref="B55" authorId="0" shapeId="0">
      <text>
        <r>
          <rPr>
            <b/>
            <sz val="9"/>
            <color indexed="81"/>
            <rFont val="Tahoma"/>
            <family val="2"/>
          </rPr>
          <t>CKettner:</t>
        </r>
        <r>
          <rPr>
            <sz val="9"/>
            <color indexed="81"/>
            <rFont val="Tahoma"/>
            <family val="2"/>
          </rPr>
          <t xml:space="preserve">
H:\Revenue\Unbilled Revenue\YYYY Unbilled\YYYY Elec Unbilled\Y-YY Electric Unbilled Calc.xlsx</t>
        </r>
      </text>
    </comment>
  </commentList>
</comments>
</file>

<file path=xl/comments2.xml><?xml version="1.0" encoding="utf-8"?>
<comments xmlns="http://schemas.openxmlformats.org/spreadsheetml/2006/main">
  <authors>
    <author>tmm8381</author>
    <author>gaa9730</author>
    <author>CKettner</author>
    <author>tzj0fg</author>
    <author>Lori Hamilton</author>
    <author>Kettner, Cheryl</author>
  </authors>
  <commentList>
    <comment ref="B8" authorId="0" shapeId="0">
      <text>
        <r>
          <rPr>
            <b/>
            <sz val="9"/>
            <color indexed="81"/>
            <rFont val="Tahoma"/>
            <family val="2"/>
          </rPr>
          <t>tmm8381:</t>
        </r>
        <r>
          <rPr>
            <sz val="9"/>
            <color indexed="81"/>
            <rFont val="Tahoma"/>
            <family val="2"/>
          </rPr>
          <t xml:space="preserve">
PWRCAP deal 100078</t>
        </r>
      </text>
    </comment>
    <comment ref="B9" authorId="0" shapeId="0">
      <text>
        <r>
          <rPr>
            <b/>
            <sz val="9"/>
            <color indexed="81"/>
            <rFont val="Tahoma"/>
            <family val="2"/>
          </rPr>
          <t>tmm8381:</t>
        </r>
        <r>
          <rPr>
            <sz val="9"/>
            <color indexed="81"/>
            <rFont val="Tahoma"/>
            <family val="2"/>
          </rPr>
          <t xml:space="preserve">
Power, deal 107240</t>
        </r>
      </text>
    </comment>
    <comment ref="B10" authorId="0" shapeId="0">
      <text>
        <r>
          <rPr>
            <b/>
            <sz val="9"/>
            <color indexed="81"/>
            <rFont val="Tahoma"/>
            <family val="2"/>
          </rPr>
          <t>tmm8381:</t>
        </r>
        <r>
          <rPr>
            <sz val="9"/>
            <color indexed="81"/>
            <rFont val="Tahoma"/>
            <family val="2"/>
          </rPr>
          <t xml:space="preserve">
ACCTPW deal 100131</t>
        </r>
      </text>
    </comment>
    <comment ref="B11" authorId="0" shapeId="0">
      <text>
        <r>
          <rPr>
            <b/>
            <sz val="9"/>
            <color indexed="81"/>
            <rFont val="Tahoma"/>
            <family val="2"/>
          </rPr>
          <t>tmm8381:</t>
        </r>
        <r>
          <rPr>
            <sz val="9"/>
            <color indexed="81"/>
            <rFont val="Tahoma"/>
            <family val="2"/>
          </rPr>
          <t xml:space="preserve">
PWRCAP deal 100085</t>
        </r>
      </text>
    </comment>
    <comment ref="B13" authorId="0" shapeId="0">
      <text>
        <r>
          <rPr>
            <b/>
            <sz val="9"/>
            <color indexed="81"/>
            <rFont val="Tahoma"/>
            <family val="2"/>
          </rPr>
          <t>tmm8381:</t>
        </r>
        <r>
          <rPr>
            <sz val="9"/>
            <color indexed="81"/>
            <rFont val="Tahoma"/>
            <family val="2"/>
          </rPr>
          <t xml:space="preserve">
ACCTPW deal 100137</t>
        </r>
      </text>
    </comment>
    <comment ref="B14" authorId="0" shapeId="0">
      <text>
        <r>
          <rPr>
            <b/>
            <sz val="9"/>
            <color indexed="81"/>
            <rFont val="Tahoma"/>
            <family val="2"/>
          </rPr>
          <t>tmm8381:</t>
        </r>
        <r>
          <rPr>
            <sz val="9"/>
            <color indexed="81"/>
            <rFont val="Tahoma"/>
            <family val="2"/>
          </rPr>
          <t xml:space="preserve">
Removed Kootenai Electric, Fighting Creek April 2014 month end per Cheryl Kettner &amp; Gina Armstrong
</t>
        </r>
      </text>
    </comment>
    <comment ref="C14" authorId="1" shapeId="0">
      <text>
        <r>
          <rPr>
            <b/>
            <sz val="8"/>
            <color indexed="81"/>
            <rFont val="Tahoma"/>
            <family val="2"/>
          </rPr>
          <t>gaa9730:</t>
        </r>
        <r>
          <rPr>
            <sz val="8"/>
            <color indexed="81"/>
            <rFont val="Tahoma"/>
            <family val="2"/>
          </rPr>
          <t xml:space="preserve">
Add these together</t>
        </r>
      </text>
    </comment>
    <comment ref="B15" authorId="0" shapeId="0">
      <text>
        <r>
          <rPr>
            <b/>
            <sz val="9"/>
            <color indexed="81"/>
            <rFont val="Tahoma"/>
            <family val="2"/>
          </rPr>
          <t>tmm8381:</t>
        </r>
        <r>
          <rPr>
            <sz val="9"/>
            <color indexed="81"/>
            <rFont val="Tahoma"/>
            <family val="2"/>
          </rPr>
          <t xml:space="preserve">
Power deal 185895</t>
        </r>
      </text>
    </comment>
    <comment ref="B16" authorId="0" shapeId="0">
      <text>
        <r>
          <rPr>
            <b/>
            <sz val="9"/>
            <color indexed="81"/>
            <rFont val="Tahoma"/>
            <family val="2"/>
          </rPr>
          <t>tmm8381:</t>
        </r>
        <r>
          <rPr>
            <sz val="9"/>
            <color indexed="81"/>
            <rFont val="Tahoma"/>
            <family val="2"/>
          </rPr>
          <t xml:space="preserve">
Power deal 186298, currently does not include deal 186297
</t>
        </r>
      </text>
    </comment>
    <comment ref="B17" authorId="0" shapeId="0">
      <text>
        <r>
          <rPr>
            <b/>
            <sz val="9"/>
            <color indexed="81"/>
            <rFont val="Tahoma"/>
            <family val="2"/>
          </rPr>
          <t>tmm8381:</t>
        </r>
        <r>
          <rPr>
            <sz val="9"/>
            <color indexed="81"/>
            <rFont val="Tahoma"/>
            <family val="2"/>
          </rPr>
          <t xml:space="preserve">
Power deal 223063</t>
        </r>
      </text>
    </comment>
    <comment ref="B19" authorId="0" shapeId="0">
      <text>
        <r>
          <rPr>
            <b/>
            <sz val="9"/>
            <color indexed="81"/>
            <rFont val="Tahoma"/>
            <family val="2"/>
          </rPr>
          <t>tmm8381:</t>
        </r>
        <r>
          <rPr>
            <sz val="9"/>
            <color indexed="81"/>
            <rFont val="Tahoma"/>
            <family val="2"/>
          </rPr>
          <t xml:space="preserve">
Power "Lancaster CT"</t>
        </r>
      </text>
    </comment>
    <comment ref="B20" authorId="0" shapeId="0">
      <text>
        <r>
          <rPr>
            <b/>
            <sz val="9"/>
            <color indexed="81"/>
            <rFont val="Tahoma"/>
            <family val="2"/>
          </rPr>
          <t>tmm8381:</t>
        </r>
        <r>
          <rPr>
            <sz val="9"/>
            <color indexed="81"/>
            <rFont val="Tahoma"/>
            <family val="2"/>
          </rPr>
          <t xml:space="preserve">
Power deal 181462
</t>
        </r>
      </text>
    </comment>
    <comment ref="C36" authorId="2" shapeId="0">
      <text>
        <r>
          <rPr>
            <b/>
            <sz val="9"/>
            <color indexed="81"/>
            <rFont val="Tahoma"/>
            <family val="2"/>
          </rPr>
          <t>CKettner:</t>
        </r>
        <r>
          <rPr>
            <sz val="9"/>
            <color indexed="81"/>
            <rFont val="Tahoma"/>
            <family val="2"/>
          </rPr>
          <t xml:space="preserve">
Change calculation yearly based on workbook saved in: H:\Power Accounting\PurchPower\PURPA\Adams Nielson Solar - Solar Select\Solar Select 1 WP 05-11-18.xlsx</t>
        </r>
      </text>
    </comment>
    <comment ref="E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t>
        </r>
      </text>
    </comment>
    <comment ref="F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t>
        </r>
      </text>
    </comment>
    <comment ref="G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In February, actual generation was 1,719 and not 950.  An additional 769 was included in March with the March gen of 3,425.</t>
        </r>
      </text>
    </comment>
    <comment ref="H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Actual generation for April was 4,103.
</t>
        </r>
      </text>
    </comment>
    <comment ref="I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Actual generation for May was 5,569
</t>
        </r>
      </text>
    </comment>
    <comment ref="J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Actual generation for June was 5,658
</t>
        </r>
      </text>
    </comment>
    <comment ref="K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Actual generation for July was 6,317
</t>
        </r>
      </text>
    </comment>
    <comment ref="L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Actual generation for August was 5,700
</t>
        </r>
      </text>
    </comment>
    <comment ref="B37" authorId="0" shapeId="0">
      <text>
        <r>
          <rPr>
            <b/>
            <sz val="9"/>
            <color indexed="81"/>
            <rFont val="Tahoma"/>
            <family val="2"/>
          </rPr>
          <t>tmm8381:</t>
        </r>
        <r>
          <rPr>
            <sz val="9"/>
            <color indexed="81"/>
            <rFont val="Tahoma"/>
            <family val="2"/>
          </rPr>
          <t xml:space="preserve">
Deal 573, actual volume</t>
        </r>
      </text>
    </comment>
    <comment ref="C42" authorId="1" shapeId="0">
      <text>
        <r>
          <rPr>
            <b/>
            <sz val="8"/>
            <color indexed="81"/>
            <rFont val="Tahoma"/>
            <family val="2"/>
          </rPr>
          <t>gaa9730:</t>
        </r>
        <r>
          <rPr>
            <sz val="8"/>
            <color indexed="81"/>
            <rFont val="Tahoma"/>
            <family val="2"/>
          </rPr>
          <t xml:space="preserve">
H:\Power Accountingk\Billings\Nicholspump</t>
        </r>
      </text>
    </comment>
    <comment ref="E51" authorId="2" shapeId="0">
      <text>
        <r>
          <rPr>
            <b/>
            <sz val="9"/>
            <color indexed="81"/>
            <rFont val="Tahoma"/>
            <family val="2"/>
          </rPr>
          <t>CKettner:</t>
        </r>
        <r>
          <rPr>
            <sz val="9"/>
            <color indexed="81"/>
            <rFont val="Tahoma"/>
            <family val="2"/>
          </rPr>
          <t xml:space="preserve">
Input Monthly Calculated Amount From Nucleus </t>
        </r>
      </text>
    </comment>
    <comment ref="F51" authorId="2" shapeId="0">
      <text>
        <r>
          <rPr>
            <b/>
            <sz val="9"/>
            <color indexed="81"/>
            <rFont val="Tahoma"/>
            <family val="2"/>
          </rPr>
          <t>CKettner:</t>
        </r>
        <r>
          <rPr>
            <sz val="9"/>
            <color indexed="81"/>
            <rFont val="Tahoma"/>
            <family val="2"/>
          </rPr>
          <t xml:space="preserve">
Input Monthly Calculated Amount From Nucleus </t>
        </r>
      </text>
    </comment>
    <comment ref="G51" authorId="2" shapeId="0">
      <text>
        <r>
          <rPr>
            <b/>
            <sz val="9"/>
            <color indexed="81"/>
            <rFont val="Tahoma"/>
            <family val="2"/>
          </rPr>
          <t>CKettner:</t>
        </r>
        <r>
          <rPr>
            <sz val="9"/>
            <color indexed="81"/>
            <rFont val="Tahoma"/>
            <family val="2"/>
          </rPr>
          <t xml:space="preserve">
Input Monthly Calculated Amount From Nucleus </t>
        </r>
      </text>
    </comment>
    <comment ref="H51" authorId="2" shapeId="0">
      <text>
        <r>
          <rPr>
            <b/>
            <sz val="9"/>
            <color indexed="81"/>
            <rFont val="Tahoma"/>
            <family val="2"/>
          </rPr>
          <t>CKettner:</t>
        </r>
        <r>
          <rPr>
            <sz val="9"/>
            <color indexed="81"/>
            <rFont val="Tahoma"/>
            <family val="2"/>
          </rPr>
          <t xml:space="preserve">
Input Monthly Calculated Amount From Nucleus </t>
        </r>
      </text>
    </comment>
    <comment ref="I51" authorId="2" shapeId="0">
      <text>
        <r>
          <rPr>
            <b/>
            <sz val="9"/>
            <color indexed="81"/>
            <rFont val="Tahoma"/>
            <family val="2"/>
          </rPr>
          <t>CKettner:</t>
        </r>
        <r>
          <rPr>
            <sz val="9"/>
            <color indexed="81"/>
            <rFont val="Tahoma"/>
            <family val="2"/>
          </rPr>
          <t xml:space="preserve">
Input Monthly Calculated Amount From Nucleus </t>
        </r>
      </text>
    </comment>
    <comment ref="J51" authorId="2" shapeId="0">
      <text>
        <r>
          <rPr>
            <b/>
            <sz val="9"/>
            <color indexed="81"/>
            <rFont val="Tahoma"/>
            <family val="2"/>
          </rPr>
          <t>CKettner:</t>
        </r>
        <r>
          <rPr>
            <sz val="9"/>
            <color indexed="81"/>
            <rFont val="Tahoma"/>
            <family val="2"/>
          </rPr>
          <t xml:space="preserve">
Input Monthly Calculated Amount From Nucleus </t>
        </r>
      </text>
    </comment>
    <comment ref="K51" authorId="2" shapeId="0">
      <text>
        <r>
          <rPr>
            <b/>
            <sz val="9"/>
            <color indexed="81"/>
            <rFont val="Tahoma"/>
            <family val="2"/>
          </rPr>
          <t>CKettner:</t>
        </r>
        <r>
          <rPr>
            <sz val="9"/>
            <color indexed="81"/>
            <rFont val="Tahoma"/>
            <family val="2"/>
          </rPr>
          <t xml:space="preserve">
Input Monthly Calculated Amount From Nucleus </t>
        </r>
      </text>
    </comment>
    <comment ref="L51" authorId="2" shapeId="0">
      <text>
        <r>
          <rPr>
            <b/>
            <sz val="9"/>
            <color indexed="81"/>
            <rFont val="Tahoma"/>
            <family val="2"/>
          </rPr>
          <t>CKettner:</t>
        </r>
        <r>
          <rPr>
            <sz val="9"/>
            <color indexed="81"/>
            <rFont val="Tahoma"/>
            <family val="2"/>
          </rPr>
          <t xml:space="preserve">
Input Monthly Calculated Amount From Nucleus </t>
        </r>
      </text>
    </comment>
    <comment ref="M51" authorId="2" shapeId="0">
      <text>
        <r>
          <rPr>
            <b/>
            <sz val="9"/>
            <color indexed="81"/>
            <rFont val="Tahoma"/>
            <family val="2"/>
          </rPr>
          <t>CKettner:</t>
        </r>
        <r>
          <rPr>
            <sz val="9"/>
            <color indexed="81"/>
            <rFont val="Tahoma"/>
            <family val="2"/>
          </rPr>
          <t xml:space="preserve">
Input Monthly Calculated Amount From Nucleus </t>
        </r>
      </text>
    </comment>
    <comment ref="N51" authorId="2" shapeId="0">
      <text>
        <r>
          <rPr>
            <b/>
            <sz val="9"/>
            <color indexed="81"/>
            <rFont val="Tahoma"/>
            <family val="2"/>
          </rPr>
          <t>CKettner:</t>
        </r>
        <r>
          <rPr>
            <sz val="9"/>
            <color indexed="81"/>
            <rFont val="Tahoma"/>
            <family val="2"/>
          </rPr>
          <t xml:space="preserve">
Input Monthly Calculated Amount From Nucleus </t>
        </r>
      </text>
    </comment>
    <comment ref="O51" authorId="2" shapeId="0">
      <text>
        <r>
          <rPr>
            <b/>
            <sz val="9"/>
            <color indexed="81"/>
            <rFont val="Tahoma"/>
            <family val="2"/>
          </rPr>
          <t>CKettner:</t>
        </r>
        <r>
          <rPr>
            <sz val="9"/>
            <color indexed="81"/>
            <rFont val="Tahoma"/>
            <family val="2"/>
          </rPr>
          <t xml:space="preserve">
Input Monthly Calculated Amount From Nucleus </t>
        </r>
      </text>
    </comment>
    <comment ref="P51" authorId="2" shapeId="0">
      <text>
        <r>
          <rPr>
            <b/>
            <sz val="9"/>
            <color indexed="81"/>
            <rFont val="Tahoma"/>
            <family val="2"/>
          </rPr>
          <t>CKettner:</t>
        </r>
        <r>
          <rPr>
            <sz val="9"/>
            <color indexed="81"/>
            <rFont val="Tahoma"/>
            <family val="2"/>
          </rPr>
          <t xml:space="preserve">
Input Monthly Calculated Amount From Nucleus </t>
        </r>
      </text>
    </comment>
    <comment ref="B52" authorId="3" shapeId="0">
      <text>
        <r>
          <rPr>
            <b/>
            <sz val="8"/>
            <color indexed="81"/>
            <rFont val="Tahoma"/>
            <family val="2"/>
          </rPr>
          <t>tzj0fg:</t>
        </r>
        <r>
          <rPr>
            <sz val="8"/>
            <color indexed="81"/>
            <rFont val="Tahoma"/>
            <family val="2"/>
          </rPr>
          <t xml:space="preserve">
Fin Swaps</t>
        </r>
      </text>
    </comment>
    <comment ref="B53" authorId="2" shapeId="0">
      <text>
        <r>
          <rPr>
            <b/>
            <sz val="9"/>
            <color indexed="81"/>
            <rFont val="Tahoma"/>
            <family val="2"/>
          </rPr>
          <t>CKettner:</t>
        </r>
        <r>
          <rPr>
            <sz val="9"/>
            <color indexed="81"/>
            <rFont val="Tahoma"/>
            <family val="2"/>
          </rPr>
          <t xml:space="preserve">
Sales for Resale - Non Derivative</t>
        </r>
      </text>
    </comment>
    <comment ref="B54" authorId="3" shapeId="0">
      <text>
        <r>
          <rPr>
            <b/>
            <sz val="8"/>
            <color indexed="81"/>
            <rFont val="Tahoma"/>
            <family val="2"/>
          </rPr>
          <t>tzj0fg:</t>
        </r>
        <r>
          <rPr>
            <sz val="8"/>
            <color indexed="81"/>
            <rFont val="Tahoma"/>
            <family val="2"/>
          </rPr>
          <t xml:space="preserve">
Bookouts</t>
        </r>
      </text>
    </comment>
    <comment ref="B55" authorId="3" shapeId="0">
      <text>
        <r>
          <rPr>
            <b/>
            <sz val="8"/>
            <color indexed="81"/>
            <rFont val="Tahoma"/>
            <family val="2"/>
          </rPr>
          <t>tzj0fg:</t>
        </r>
        <r>
          <rPr>
            <sz val="8"/>
            <color indexed="81"/>
            <rFont val="Tahoma"/>
            <family val="2"/>
          </rPr>
          <t xml:space="preserve">
Inter Company - Ancil Services</t>
        </r>
      </text>
    </comment>
    <comment ref="B56" authorId="3" shapeId="0">
      <text>
        <r>
          <rPr>
            <b/>
            <sz val="8"/>
            <color indexed="81"/>
            <rFont val="Tahoma"/>
            <family val="2"/>
          </rPr>
          <t>tzj0fg:</t>
        </r>
        <r>
          <rPr>
            <sz val="8"/>
            <color indexed="81"/>
            <rFont val="Tahoma"/>
            <family val="2"/>
          </rPr>
          <t xml:space="preserve">
Inter Co - Transmission</t>
        </r>
      </text>
    </comment>
    <comment ref="B110" authorId="4" shapeId="0">
      <text>
        <r>
          <rPr>
            <b/>
            <sz val="8"/>
            <color indexed="81"/>
            <rFont val="Tahoma"/>
            <family val="2"/>
          </rPr>
          <t>Net gas not burned plus act v auth REC expense, and other misc rev's</t>
        </r>
      </text>
    </comment>
    <comment ref="B111" authorId="3" shapeId="0">
      <text>
        <r>
          <rPr>
            <b/>
            <sz val="8"/>
            <color indexed="81"/>
            <rFont val="Tahoma"/>
            <family val="2"/>
          </rPr>
          <t>tzj0fg:</t>
        </r>
        <r>
          <rPr>
            <sz val="8"/>
            <color indexed="81"/>
            <rFont val="Tahoma"/>
            <family val="2"/>
          </rPr>
          <t xml:space="preserve">
Financial
</t>
        </r>
      </text>
    </comment>
    <comment ref="B112" authorId="3" shapeId="0">
      <text>
        <r>
          <rPr>
            <b/>
            <sz val="8"/>
            <color indexed="81"/>
            <rFont val="Tahoma"/>
            <family val="2"/>
          </rPr>
          <t>tzj0fg:</t>
        </r>
        <r>
          <rPr>
            <sz val="8"/>
            <color indexed="81"/>
            <rFont val="Tahoma"/>
            <family val="2"/>
          </rPr>
          <t xml:space="preserve">
Physical
</t>
        </r>
      </text>
    </comment>
    <comment ref="B118" authorId="2" shapeId="0">
      <text>
        <r>
          <rPr>
            <b/>
            <sz val="9"/>
            <color indexed="81"/>
            <rFont val="Tahoma"/>
            <family val="2"/>
          </rPr>
          <t>CKettner:</t>
        </r>
        <r>
          <rPr>
            <sz val="9"/>
            <color indexed="81"/>
            <rFont val="Tahoma"/>
            <family val="2"/>
          </rPr>
          <t xml:space="preserve">
Added 03/2018
</t>
        </r>
      </text>
    </comment>
    <comment ref="B125" authorId="0" shapeId="0">
      <text>
        <r>
          <rPr>
            <b/>
            <sz val="9"/>
            <color indexed="81"/>
            <rFont val="Tahoma"/>
            <family val="2"/>
          </rPr>
          <t>tmm8381:</t>
        </r>
        <r>
          <rPr>
            <sz val="9"/>
            <color indexed="81"/>
            <rFont val="Tahoma"/>
            <family val="2"/>
          </rPr>
          <t xml:space="preserve">
Excluded in ERM, activity picked up in REC deferral for WA.</t>
        </r>
      </text>
    </comment>
    <comment ref="G125" authorId="5" shapeId="0">
      <text>
        <r>
          <rPr>
            <b/>
            <sz val="9"/>
            <color indexed="81"/>
            <rFont val="Tahoma"/>
            <family val="2"/>
          </rPr>
          <t>Kettner, Cheryl:</t>
        </r>
        <r>
          <rPr>
            <sz val="9"/>
            <color indexed="81"/>
            <rFont val="Tahoma"/>
            <family val="2"/>
          </rPr>
          <t xml:space="preserve">
Contains $1,450,640 for payment of load reduction to Inland Empire Paper Co</t>
        </r>
      </text>
    </comment>
    <comment ref="B129" authorId="3" shapeId="0">
      <text>
        <r>
          <rPr>
            <b/>
            <sz val="8"/>
            <color indexed="81"/>
            <rFont val="Tahoma"/>
            <family val="2"/>
          </rPr>
          <t>tzj0fg: BuckaBlock</t>
        </r>
        <r>
          <rPr>
            <sz val="8"/>
            <color indexed="81"/>
            <rFont val="Tahoma"/>
            <family val="2"/>
          </rPr>
          <t xml:space="preserve">
from Tara Knox - comes from Authorized Exhibits
zero in 2012</t>
        </r>
      </text>
    </comment>
    <comment ref="B131" authorId="3" shapeId="0">
      <text>
        <r>
          <rPr>
            <b/>
            <sz val="8"/>
            <color indexed="81"/>
            <rFont val="Tahoma"/>
            <family val="2"/>
          </rPr>
          <t>tzj0fg:</t>
        </r>
        <r>
          <rPr>
            <sz val="8"/>
            <color indexed="81"/>
            <rFont val="Tahoma"/>
            <family val="2"/>
          </rPr>
          <t xml:space="preserve">
If Act&lt;Auth (+) Surcharge
If Act&gt;Auth (-) Rebate</t>
        </r>
      </text>
    </comment>
    <comment ref="B136" authorId="3" shapeId="0">
      <text>
        <r>
          <rPr>
            <b/>
            <sz val="8"/>
            <color indexed="81"/>
            <rFont val="Tahoma"/>
            <family val="2"/>
          </rPr>
          <t>tzj0fg:</t>
        </r>
        <r>
          <rPr>
            <sz val="8"/>
            <color indexed="81"/>
            <rFont val="Tahoma"/>
            <family val="2"/>
          </rPr>
          <t xml:space="preserve">
If Act&lt;Auth (+) Surcharge
If Act&gt;Auth (-) Rebate</t>
        </r>
      </text>
    </comment>
  </commentList>
</comments>
</file>

<file path=xl/comments3.xml><?xml version="1.0" encoding="utf-8"?>
<comments xmlns="http://schemas.openxmlformats.org/spreadsheetml/2006/main">
  <authors>
    <author>CKettner</author>
  </authors>
  <commentList>
    <comment ref="A8" authorId="0" shapeId="0">
      <text>
        <r>
          <rPr>
            <b/>
            <sz val="9"/>
            <color indexed="81"/>
            <rFont val="Tahoma"/>
            <family val="2"/>
          </rPr>
          <t>CKettner:</t>
        </r>
        <r>
          <rPr>
            <sz val="9"/>
            <color indexed="81"/>
            <rFont val="Tahoma"/>
            <family val="2"/>
          </rPr>
          <t xml:space="preserve">
From Revenue_RateSch_CM_YTD 20XX XX.xls that Rates sends</t>
        </r>
      </text>
    </comment>
    <comment ref="B9" authorId="0" shapeId="0">
      <text>
        <r>
          <rPr>
            <b/>
            <sz val="9"/>
            <color indexed="81"/>
            <rFont val="Tahoma"/>
            <family val="2"/>
          </rPr>
          <t>CKettner:</t>
        </r>
        <r>
          <rPr>
            <sz val="9"/>
            <color indexed="81"/>
            <rFont val="Tahoma"/>
            <family val="2"/>
          </rPr>
          <t xml:space="preserve">
Update manually.</t>
        </r>
      </text>
    </comment>
    <comment ref="A10" authorId="0" shapeId="0">
      <text>
        <r>
          <rPr>
            <b/>
            <sz val="9"/>
            <color indexed="81"/>
            <rFont val="Tahoma"/>
            <family val="2"/>
          </rPr>
          <t>CKettner:</t>
        </r>
        <r>
          <rPr>
            <sz val="9"/>
            <color indexed="81"/>
            <rFont val="Tahoma"/>
            <family val="2"/>
          </rPr>
          <t xml:space="preserve">
From X-XX Electric Unbilled Calc.xlsx</t>
        </r>
      </text>
    </comment>
  </commentList>
</comments>
</file>

<file path=xl/sharedStrings.xml><?xml version="1.0" encoding="utf-8"?>
<sst xmlns="http://schemas.openxmlformats.org/spreadsheetml/2006/main" count="244" uniqueCount="193">
  <si>
    <t>Line</t>
  </si>
  <si>
    <t>No.</t>
  </si>
  <si>
    <t>Actual</t>
  </si>
  <si>
    <t>555 Purchased Power</t>
  </si>
  <si>
    <t>501 Thermal Fuel</t>
  </si>
  <si>
    <t>547 CT Fuel</t>
  </si>
  <si>
    <t>447 Sale for Resale</t>
  </si>
  <si>
    <t>Authorized Net Expense</t>
  </si>
  <si>
    <t>Actual - Authorized Net Expense</t>
  </si>
  <si>
    <t>TOTAL</t>
  </si>
  <si>
    <t>Adjusted Actual Net Expense</t>
  </si>
  <si>
    <t xml:space="preserve"> AUTHORIZED NET EXPENSE-SYSTEM</t>
  </si>
  <si>
    <t>555 PURCHASED POWER</t>
  </si>
  <si>
    <t>Small Power</t>
  </si>
  <si>
    <t>Non-Mon. Accruals</t>
  </si>
  <si>
    <t>501 FUEL-DOLLARS</t>
  </si>
  <si>
    <t>Kettle Falls</t>
  </si>
  <si>
    <t>wood</t>
  </si>
  <si>
    <t>coal</t>
  </si>
  <si>
    <t xml:space="preserve">Colstrip </t>
  </si>
  <si>
    <t>547 FUEL</t>
  </si>
  <si>
    <t>447 SALES FOR RESALE</t>
  </si>
  <si>
    <t>Short-Term Sales</t>
  </si>
  <si>
    <t>501 FUEL-TONS</t>
  </si>
  <si>
    <t xml:space="preserve"> </t>
  </si>
  <si>
    <t>Colstrip</t>
  </si>
  <si>
    <t>501 FUEL-COST PER TON</t>
  </si>
  <si>
    <t>Nichols Pumping Index Sale</t>
  </si>
  <si>
    <t>WPM Ancillary Services</t>
  </si>
  <si>
    <t>Merchant Ancillary Services</t>
  </si>
  <si>
    <t>WASHINGTON POWER COST DEFERRALS</t>
  </si>
  <si>
    <t>Pend Oreille DES</t>
  </si>
  <si>
    <t>TOTAL NET EXPENSE</t>
  </si>
  <si>
    <t>input</t>
  </si>
  <si>
    <t>and up</t>
  </si>
  <si>
    <t>check #-should be zero</t>
  </si>
  <si>
    <t>565 Transmission Expense</t>
  </si>
  <si>
    <t>557 Broker Fees</t>
  </si>
  <si>
    <t>Company Band Gross Margin Impact, Cumulative</t>
  </si>
  <si>
    <t>Adjusted  Net Expense</t>
  </si>
  <si>
    <t>Stimson Lumber</t>
  </si>
  <si>
    <t>company absorbed</t>
  </si>
  <si>
    <t>456 Transmission Revenue</t>
  </si>
  <si>
    <t>456100 ED AN</t>
  </si>
  <si>
    <t>565000 ED AN</t>
  </si>
  <si>
    <t>565710 ED AN</t>
  </si>
  <si>
    <t>Colstrip Oil-501160</t>
  </si>
  <si>
    <t>Colstrip Coal-501140</t>
  </si>
  <si>
    <t>WNP3 Mid Point</t>
  </si>
  <si>
    <t>Kettle Falls CT-547211</t>
  </si>
  <si>
    <t>Boulder Park-547216</t>
  </si>
  <si>
    <t>Coyote Springs2-547610</t>
  </si>
  <si>
    <t>Rathdrum CT-547310</t>
  </si>
  <si>
    <t>Econ Dispatch-557150</t>
  </si>
  <si>
    <t>Gas Bookouts-557700</t>
  </si>
  <si>
    <t>Fuel Dispatch-456015</t>
  </si>
  <si>
    <t>Fuel Bookouts-456720</t>
  </si>
  <si>
    <t>NE CT Gas/Oil-547213</t>
  </si>
  <si>
    <t>Lancaster-547312</t>
  </si>
  <si>
    <t>565312 ED AN</t>
  </si>
  <si>
    <t>Lancaster</t>
  </si>
  <si>
    <t>Net Resource Optimization</t>
  </si>
  <si>
    <t>Net Power Cost (+) Surcharge (-) Rebate</t>
  </si>
  <si>
    <t>Econ Dispatch-557010</t>
  </si>
  <si>
    <t>Wind REC Exp Authorized</t>
  </si>
  <si>
    <t>Intraco Thermal Gas-557730</t>
  </si>
  <si>
    <t>Intraco Thermal Gas-456730</t>
  </si>
  <si>
    <t>Total</t>
  </si>
  <si>
    <t>Fuel DispatchFin -456010</t>
  </si>
  <si>
    <t>Fuel Bookouts-456711</t>
  </si>
  <si>
    <t>Gas Bookouts-557711</t>
  </si>
  <si>
    <t>Washington Allocation</t>
  </si>
  <si>
    <t>Washington Share</t>
  </si>
  <si>
    <t>Avista Corp. - Resource Accounting</t>
  </si>
  <si>
    <t>WASHINGTON ACTUALS</t>
  </si>
  <si>
    <t xml:space="preserve">Wind REC Exp Actual 557395 </t>
  </si>
  <si>
    <t>Wind REC Subtotal</t>
  </si>
  <si>
    <t>Total 547 Fuel Expense</t>
  </si>
  <si>
    <t>Total 501 Fuel Expense</t>
  </si>
  <si>
    <t>Total 447 Sales for Resale</t>
  </si>
  <si>
    <t>Total 555 Purchased Power</t>
  </si>
  <si>
    <t>(1) Effective November, 2008, WNP-3 purchase expense has been adjusted to reflect the mid-point price,  per Settlement Agreement, Cause No. U-86-99</t>
  </si>
  <si>
    <t>Total 565 Transmission Expense</t>
  </si>
  <si>
    <t>Total 456 Transmission Revenue</t>
  </si>
  <si>
    <t>456 TRANSMISSION REVENUE</t>
  </si>
  <si>
    <t>565 TRANSMISSION EXPENSE</t>
  </si>
  <si>
    <t>WASHINGTON DEFERRED POWER COST CALCULATION - ACTUAL SYSTEM POWER SUPPLY EXPENSES</t>
  </si>
  <si>
    <t>Kettle Falls Gas-501120</t>
  </si>
  <si>
    <t>Kettle Falls Wood-501110</t>
  </si>
  <si>
    <t>City of Spokane-Upriver</t>
  </si>
  <si>
    <t>Deal Number</t>
  </si>
  <si>
    <t>BPA 573</t>
  </si>
  <si>
    <t>Fin Swaps</t>
  </si>
  <si>
    <t>Clearwater</t>
  </si>
  <si>
    <t>NonMonetary</t>
  </si>
  <si>
    <t>Bookouts</t>
  </si>
  <si>
    <t>Intercompany Ancillary</t>
  </si>
  <si>
    <t>from Nichols billing worksheet - POWERACC\BILLING\NICHOLS</t>
  </si>
  <si>
    <t>B on A  Low Voltage - in Auth revenues</t>
  </si>
  <si>
    <r>
      <t xml:space="preserve">WA Retail Revenue Adjustment                    </t>
    </r>
    <r>
      <rPr>
        <sz val="9"/>
        <rFont val="Arial"/>
        <family val="2"/>
      </rPr>
      <t>(+) Surcharge (-) Rebate</t>
    </r>
  </si>
  <si>
    <t>Deferral Amount, Cumulative (Customer)</t>
  </si>
  <si>
    <t>customer deferred W/O Interest</t>
  </si>
  <si>
    <t>Short-Term Purchases</t>
  </si>
  <si>
    <t>Acct 557280 Entry; (+) Rebate, (-) Surcharge</t>
  </si>
  <si>
    <t>Inland Power &amp; Light - Deer Lake</t>
  </si>
  <si>
    <t>Rathdrum Power, LLC (Lancaster PPA )</t>
  </si>
  <si>
    <t>100074, 100075, 100076</t>
  </si>
  <si>
    <t>Chelan County PUD (Rocky Reach Slice)</t>
  </si>
  <si>
    <t>Douglas County PUD (Wells Settlement)</t>
  </si>
  <si>
    <t>Grant County PUD (Priest Rapids/Wanapum)</t>
  </si>
  <si>
    <r>
      <t>Bonneville Power Admin. (WNP-3)</t>
    </r>
    <r>
      <rPr>
        <vertAlign val="superscript"/>
        <sz val="10"/>
        <rFont val="Arial"/>
        <family val="2"/>
      </rPr>
      <t>1</t>
    </r>
  </si>
  <si>
    <t>Douglas County PUD (Wells)</t>
  </si>
  <si>
    <t>H:\Generation\Colstrip\Colstrip Fuel ….\YYYY Colstrip Fuel.xls - Used Burned amount for current month</t>
  </si>
  <si>
    <t>H:\Generation\KFGS Hog Fuel\....\YYYY KFGS SAUP.xls - use estimate Hog Fuel Consumed</t>
  </si>
  <si>
    <t>Misc. Power Exp. Actual-557160 ED AN</t>
  </si>
  <si>
    <t>Cumulative Balance</t>
  </si>
  <si>
    <t>Palouse Wind</t>
  </si>
  <si>
    <t>City of Spokane - Waste-to-Energy</t>
  </si>
  <si>
    <t>456120 ED AN - BPA Settlement</t>
  </si>
  <si>
    <t>Misc. Power Exp. Subtotal</t>
  </si>
  <si>
    <t>456017 ED AN - Low Voltage</t>
  </si>
  <si>
    <t>456705 ED AN - Low Voltage</t>
  </si>
  <si>
    <t>WNP Correction*</t>
  </si>
  <si>
    <t>Resource Optimization - Subtotal</t>
  </si>
  <si>
    <t>Total Billed Sales</t>
  </si>
  <si>
    <t>YTD</t>
  </si>
  <si>
    <t>Deduct Prior Month Unbilled</t>
  </si>
  <si>
    <t>Add Current Month Unbilled</t>
  </si>
  <si>
    <t>Difference from Test Year</t>
  </si>
  <si>
    <t>Washington Electric Jurisdiction</t>
  </si>
  <si>
    <t>Retail Sales - MWh</t>
  </si>
  <si>
    <t>Total Retail Sales</t>
  </si>
  <si>
    <t>Test Year Retail Sales</t>
  </si>
  <si>
    <t>Production Rate - $/MWh</t>
  </si>
  <si>
    <t>Total Revenue Credit - $</t>
  </si>
  <si>
    <t>Value to Put in Deferral Calculaton Spreadsheet:</t>
  </si>
  <si>
    <t>Change to only include "actual" months</t>
  </si>
  <si>
    <t xml:space="preserve">223173-177 Capacity and Reserves
excludes deviation 
energy
</t>
  </si>
  <si>
    <t>223178-180 Capacity only - RF (Regulation)</t>
  </si>
  <si>
    <t xml:space="preserve">Bonneville Power Admin Deal #573 Enter actual volume Nov - Apr Delivery period - need to update volumes (difference between midpt. &amp; commodity rate </t>
  </si>
  <si>
    <t>EWEB REC WA EIA 937 Compliance</t>
  </si>
  <si>
    <t>WA EIA937 Requirement (EWEB) - Expense</t>
  </si>
  <si>
    <t>WA EIA937 Requirement (EWEB) - Broker Fee Exp</t>
  </si>
  <si>
    <t>WA EIA 937 Requirement (EWEB) - Broker Fee Exp</t>
  </si>
  <si>
    <t>557 Broker &amp; Related Fees</t>
  </si>
  <si>
    <t>Total 557 ED AN Broker &amp; Related Fees</t>
  </si>
  <si>
    <t>557172 ED AN</t>
  </si>
  <si>
    <t>557170 ED AN</t>
  </si>
  <si>
    <t xml:space="preserve">Arch Ford (Jim Ford) 100133, Glen/Rose Marie (Sheep Creek) 100151, Idaho County L&amp;P (John Day) 100460, James White 100163, Mike Johnson (Hydrotech) 214285, Spokane Co. 186693, Deep Creek </t>
  </si>
  <si>
    <t>Intercompany Transmission</t>
  </si>
  <si>
    <t>Washington 100% Activity (EIA 937)</t>
  </si>
  <si>
    <t>Deferral Amount, Monthly Entry</t>
  </si>
  <si>
    <t>456130 ED AN - Ancillary Services Revenue</t>
  </si>
  <si>
    <t>456020 ED AN - Sale of excess BPA Trans</t>
  </si>
  <si>
    <t>WA Monthly Tab Inputs</t>
  </si>
  <si>
    <t>Indicates Predetermined Amounts</t>
  </si>
  <si>
    <t>Arch Ford - 100133</t>
  </si>
  <si>
    <t>Glen/Rose Marie (Sheep Creek) - 100151</t>
  </si>
  <si>
    <t>Idaho County L&amp;P (John Day) - 100460</t>
  </si>
  <si>
    <t>Spokane County - 186693</t>
  </si>
  <si>
    <t>Small Power:</t>
  </si>
  <si>
    <t>WA Summary Tab Inputs</t>
  </si>
  <si>
    <t>City of Spokane-Upriver - 186298</t>
  </si>
  <si>
    <t>Total Billed Sales - Divided by 1,000</t>
  </si>
  <si>
    <t>Add Current Month Unbilled - Divided by 1,000</t>
  </si>
  <si>
    <t>Sovereign Power/Kaiser Load Following</t>
  </si>
  <si>
    <t>456700 ED WA - Low Voltage</t>
  </si>
  <si>
    <t>WA RRC Tab Inputs</t>
  </si>
  <si>
    <t>Direct WA (Agreed to Adjustment)</t>
  </si>
  <si>
    <t>Settlement Adjustment</t>
  </si>
  <si>
    <t>557165 ED AN</t>
  </si>
  <si>
    <t>CAISO</t>
  </si>
  <si>
    <t>Glen/Rose Marie (Phillips Ranch) - 100023</t>
  </si>
  <si>
    <t>557018 ED AN</t>
  </si>
  <si>
    <t>Merchandise Processing Fee</t>
  </si>
  <si>
    <t>Clark Fork Hydro (formerly James White) - 264180</t>
  </si>
  <si>
    <t>HydroTech - 214285</t>
  </si>
  <si>
    <t>Deep Creek - 101139</t>
  </si>
  <si>
    <t>Stimson Lumber - 185895</t>
  </si>
  <si>
    <t>City of Spokane - Waste-to-Energy - 261981</t>
  </si>
  <si>
    <t>Clearwater Power Co - 102475</t>
  </si>
  <si>
    <t>Clearwater Power Company</t>
  </si>
  <si>
    <t>Other Elec Rev - Extraction Plant Cr - 456018</t>
  </si>
  <si>
    <t>Energy Recovery Mechanism (ERM) Retail Revenue Credit Calculation - 2019</t>
  </si>
  <si>
    <t xml:space="preserve">On WA Summary Tab, these #'s are divided by 65.73% </t>
  </si>
  <si>
    <t>Deduct Revenue From Solar Select</t>
  </si>
  <si>
    <t>Douglas County PUD (Wells) - Fixed Amount</t>
  </si>
  <si>
    <t>Solar Select Adjustment</t>
  </si>
  <si>
    <t>456030 ED AN - Clearwater Trans</t>
  </si>
  <si>
    <t>The City of Cove - 273436</t>
  </si>
  <si>
    <t>Other Gas Purchases and Sales</t>
  </si>
  <si>
    <t xml:space="preserve"> Other Gas Purchases and Sales Subtotal</t>
  </si>
  <si>
    <t>Total through August</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</si>
</sst>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quot;$&quot;#,##0.00"/>
    <numFmt numFmtId="166" formatCode="_(* #,##0_);_(* \(#,##0\);_(* &quot;-&quot;??_);_(@_)"/>
    <numFmt numFmtId="167" formatCode="_(&quot;$&quot;* #,##0_);_(&quot;$&quot;* \(#,##0\);_(&quot;$&quot;* &quot;-&quot;??_);_(@_)"/>
    <numFmt numFmtId="168" formatCode="&quot;$&quot;#,##0.0_);\(&quot;$&quot;#,##0.0\)"/>
    <numFmt numFmtId="169" formatCode="[$-409]mmm/yy;@"/>
    <numFmt numFmtId="170" formatCode="0_);\(0\)"/>
    <numFmt numFmtId="171" formatCode="mmmm\ yyyy"/>
  </numFmts>
  <fonts count="42">
    <font>
      <sz val="10"/>
      <name val="Arial"/>
    </font>
    <font>
      <sz val="10"/>
      <name val="Arial"/>
      <family val="2"/>
    </font>
    <font>
      <b/>
      <sz val="10"/>
      <name val="Arial"/>
      <family val="2"/>
    </font>
    <font>
      <sz val="10"/>
      <name val="Arial"/>
      <family val="2"/>
    </font>
    <font>
      <sz val="10"/>
      <name val="Geneva"/>
    </font>
    <font>
      <b/>
      <sz val="12"/>
      <name val="Arial"/>
      <family val="2"/>
    </font>
    <font>
      <b/>
      <u/>
      <sz val="10"/>
      <name val="Arial"/>
      <family val="2"/>
    </font>
    <font>
      <b/>
      <sz val="10"/>
      <name val="Geneva"/>
    </font>
    <font>
      <u/>
      <sz val="10"/>
      <name val="Geneva"/>
    </font>
    <font>
      <sz val="10"/>
      <color indexed="12"/>
      <name val="Arial"/>
      <family val="2"/>
    </font>
    <font>
      <b/>
      <sz val="10"/>
      <color indexed="12"/>
      <name val="Arial"/>
      <family val="2"/>
    </font>
    <font>
      <sz val="8"/>
      <name val="Arial"/>
      <family val="2"/>
    </font>
    <font>
      <b/>
      <sz val="8"/>
      <color indexed="81"/>
      <name val="Tahoma"/>
      <family val="2"/>
    </font>
    <font>
      <sz val="9"/>
      <name val="Arial"/>
      <family val="2"/>
    </font>
    <font>
      <sz val="8"/>
      <color indexed="81"/>
      <name val="Tahoma"/>
      <family val="2"/>
    </font>
    <font>
      <u/>
      <sz val="10"/>
      <name val="Arial"/>
      <family val="2"/>
    </font>
    <font>
      <b/>
      <u/>
      <sz val="10"/>
      <name val="Geneva"/>
    </font>
    <font>
      <vertAlign val="superscript"/>
      <sz val="10"/>
      <name val="Arial"/>
      <family val="2"/>
    </font>
    <font>
      <sz val="12"/>
      <name val="Arial"/>
      <family val="2"/>
    </font>
    <font>
      <b/>
      <sz val="16"/>
      <name val="Arial"/>
      <family val="2"/>
    </font>
    <font>
      <b/>
      <sz val="18"/>
      <name val="Arial"/>
      <family val="2"/>
    </font>
    <font>
      <b/>
      <sz val="14"/>
      <name val="Arial"/>
      <family val="2"/>
    </font>
    <font>
      <sz val="12"/>
      <color indexed="12"/>
      <name val="Arial"/>
      <family val="2"/>
    </font>
    <font>
      <i/>
      <sz val="12"/>
      <name val="Arial"/>
      <family val="2"/>
    </font>
    <font>
      <sz val="9"/>
      <color indexed="81"/>
      <name val="Tahoma"/>
      <family val="2"/>
    </font>
    <font>
      <b/>
      <sz val="9"/>
      <color indexed="81"/>
      <name val="Tahoma"/>
      <family val="2"/>
    </font>
    <font>
      <sz val="10"/>
      <name val="Arial"/>
      <family val="2"/>
    </font>
    <font>
      <sz val="10"/>
      <name val="Arial"/>
      <family val="2"/>
    </font>
    <font>
      <sz val="10"/>
      <name val="Arial"/>
      <family val="2"/>
    </font>
    <font>
      <sz val="10"/>
      <name val="Arial"/>
      <family val="2"/>
    </font>
    <font>
      <sz val="10"/>
      <name val="Arial"/>
      <family val="2"/>
    </font>
    <font>
      <sz val="10"/>
      <color theme="0"/>
      <name val="Arial"/>
      <family val="2"/>
    </font>
    <font>
      <sz val="11"/>
      <color theme="1"/>
      <name val="Calibri"/>
      <family val="2"/>
      <scheme val="minor"/>
    </font>
    <font>
      <sz val="10"/>
      <color rgb="FFFF0000"/>
      <name val="Arial"/>
      <family val="2"/>
    </font>
    <font>
      <sz val="10"/>
      <color rgb="FF0000FF"/>
      <name val="Arial"/>
      <family val="2"/>
    </font>
    <font>
      <b/>
      <sz val="9"/>
      <color rgb="FF0000FF"/>
      <name val="Arial"/>
      <family val="2"/>
    </font>
    <font>
      <b/>
      <sz val="10"/>
      <color rgb="FF0000FF"/>
      <name val="Arial"/>
      <family val="2"/>
    </font>
    <font>
      <b/>
      <sz val="12"/>
      <color rgb="FF0000FF"/>
      <name val="Arial"/>
      <family val="2"/>
    </font>
    <font>
      <b/>
      <sz val="12"/>
      <color theme="1"/>
      <name val="Arial"/>
      <family val="2"/>
    </font>
    <font>
      <sz val="12"/>
      <color rgb="FF0000FF"/>
      <name val="Arial"/>
      <family val="2"/>
    </font>
    <font>
      <b/>
      <i/>
      <sz val="12"/>
      <color rgb="FFFF0000"/>
      <name val="Arial"/>
      <family val="2"/>
    </font>
    <font>
      <b/>
      <sz val="12"/>
      <color rgb="FFFF0000"/>
      <name val="Arial"/>
      <family val="2"/>
    </font>
  </fonts>
  <fills count="3">
    <fill>
      <patternFill patternType="none"/>
    </fill>
    <fill>
      <patternFill patternType="gray125"/>
    </fill>
    <fill>
      <patternFill patternType="solid">
        <fgColor theme="6"/>
      </patternFill>
    </fill>
  </fills>
  <borders count="6">
    <border>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style="thin">
        <color indexed="64"/>
      </top>
      <bottom/>
      <diagonal/>
    </border>
  </borders>
  <cellStyleXfs count="21">
    <xf numFmtId="0" fontId="0" fillId="0" borderId="0"/>
    <xf numFmtId="0" fontId="31" fillId="2" borderId="0" applyNumberFormat="0" applyBorder="0" applyAlignment="0" applyProtection="0"/>
    <xf numFmtId="0" fontId="31" fillId="2" borderId="0" applyNumberFormat="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44" fontId="26" fillId="0" borderId="0" applyFont="0" applyFill="0" applyBorder="0" applyAlignment="0" applyProtection="0"/>
    <xf numFmtId="0" fontId="4" fillId="0" borderId="0"/>
    <xf numFmtId="0" fontId="3" fillId="0" borderId="0"/>
    <xf numFmtId="0" fontId="32" fillId="0" borderId="0"/>
    <xf numFmtId="0" fontId="32" fillId="0" borderId="0"/>
    <xf numFmtId="0" fontId="3" fillId="0" borderId="0"/>
    <xf numFmtId="0" fontId="3" fillId="0" borderId="0"/>
    <xf numFmtId="0" fontId="32" fillId="0" borderId="0"/>
    <xf numFmtId="0" fontId="26" fillId="0" borderId="0"/>
    <xf numFmtId="9" fontId="1" fillId="0" borderId="0" applyFont="0" applyFill="0" applyBorder="0" applyAlignment="0" applyProtection="0"/>
    <xf numFmtId="9" fontId="3" fillId="0" borderId="0" applyFont="0" applyFill="0" applyBorder="0" applyAlignment="0" applyProtection="0"/>
    <xf numFmtId="9" fontId="26" fillId="0" borderId="0" applyFont="0" applyFill="0" applyBorder="0" applyAlignment="0" applyProtection="0"/>
  </cellStyleXfs>
  <cellXfs count="233">
    <xf numFmtId="0" fontId="0" fillId="0" borderId="0" xfId="0"/>
    <xf numFmtId="0" fontId="9" fillId="0" borderId="0" xfId="0" applyFont="1" applyFill="1" applyBorder="1"/>
    <xf numFmtId="0" fontId="3" fillId="0" borderId="0" xfId="0" applyFont="1" applyFill="1" applyBorder="1"/>
    <xf numFmtId="0" fontId="3" fillId="0" borderId="0" xfId="0" applyFont="1" applyFill="1"/>
    <xf numFmtId="0" fontId="0" fillId="0" borderId="0" xfId="0" applyFill="1"/>
    <xf numFmtId="0" fontId="0" fillId="0" borderId="0" xfId="0" applyFill="1" applyBorder="1"/>
    <xf numFmtId="166" fontId="3" fillId="0" borderId="0" xfId="3" applyNumberFormat="1" applyFont="1" applyFill="1" applyBorder="1"/>
    <xf numFmtId="166" fontId="3" fillId="0" borderId="0" xfId="3" applyNumberFormat="1" applyFont="1" applyFill="1"/>
    <xf numFmtId="0" fontId="6" fillId="0" borderId="0" xfId="0" applyFont="1" applyFill="1"/>
    <xf numFmtId="0" fontId="3" fillId="0" borderId="0" xfId="0" applyFont="1" applyFill="1" applyBorder="1" applyAlignment="1">
      <alignment horizontal="center"/>
    </xf>
    <xf numFmtId="5" fontId="3" fillId="0" borderId="0" xfId="0" applyNumberFormat="1" applyFont="1" applyFill="1" applyBorder="1"/>
    <xf numFmtId="3" fontId="3" fillId="0" borderId="0" xfId="6" applyNumberFormat="1" applyFont="1" applyFill="1" applyBorder="1" applyAlignment="1"/>
    <xf numFmtId="3" fontId="3" fillId="0" borderId="0" xfId="0" applyNumberFormat="1" applyFont="1" applyFill="1" applyBorder="1" applyAlignment="1"/>
    <xf numFmtId="5" fontId="2" fillId="0" borderId="4" xfId="6" applyNumberFormat="1" applyFont="1" applyFill="1" applyBorder="1"/>
    <xf numFmtId="5" fontId="3" fillId="0" borderId="0" xfId="6" applyNumberFormat="1" applyFont="1" applyFill="1" applyBorder="1"/>
    <xf numFmtId="5" fontId="3" fillId="0" borderId="0" xfId="3" applyNumberFormat="1" applyFont="1" applyFill="1" applyBorder="1"/>
    <xf numFmtId="5" fontId="2" fillId="0" borderId="4" xfId="6" applyNumberFormat="1" applyFont="1" applyFill="1" applyBorder="1" applyAlignment="1">
      <alignment vertical="center"/>
    </xf>
    <xf numFmtId="5" fontId="2" fillId="0" borderId="4" xfId="3" applyNumberFormat="1" applyFont="1" applyFill="1" applyBorder="1" applyAlignment="1">
      <alignment vertical="center"/>
    </xf>
    <xf numFmtId="5" fontId="2" fillId="0" borderId="3" xfId="6" applyNumberFormat="1" applyFont="1" applyFill="1" applyBorder="1" applyAlignment="1">
      <alignment vertical="center"/>
    </xf>
    <xf numFmtId="5" fontId="3" fillId="0" borderId="0" xfId="3" applyNumberFormat="1" applyFont="1" applyFill="1"/>
    <xf numFmtId="5" fontId="3" fillId="0" borderId="0" xfId="3" applyNumberFormat="1" applyFont="1" applyFill="1" applyProtection="1">
      <protection locked="0"/>
    </xf>
    <xf numFmtId="5" fontId="1" fillId="0" borderId="0" xfId="3" applyNumberFormat="1" applyFill="1"/>
    <xf numFmtId="5" fontId="3" fillId="0" borderId="0" xfId="3" applyNumberFormat="1" applyFont="1" applyFill="1" applyBorder="1" applyProtection="1">
      <protection locked="0"/>
    </xf>
    <xf numFmtId="5" fontId="2" fillId="0" borderId="0" xfId="3" applyNumberFormat="1" applyFont="1" applyFill="1" applyBorder="1" applyProtection="1">
      <protection locked="0"/>
    </xf>
    <xf numFmtId="5" fontId="3" fillId="0" borderId="1" xfId="6" applyNumberFormat="1" applyFont="1" applyFill="1" applyBorder="1"/>
    <xf numFmtId="5" fontId="2" fillId="0" borderId="0" xfId="6" applyNumberFormat="1" applyFont="1" applyFill="1"/>
    <xf numFmtId="0" fontId="2" fillId="0" borderId="0" xfId="0" applyFont="1" applyFill="1"/>
    <xf numFmtId="5" fontId="2" fillId="0" borderId="5" xfId="6" applyNumberFormat="1" applyFont="1" applyFill="1" applyBorder="1" applyAlignment="1">
      <alignment vertical="center"/>
    </xf>
    <xf numFmtId="0" fontId="3" fillId="0" borderId="0" xfId="0" applyFont="1" applyFill="1" applyAlignment="1">
      <alignment horizontal="left"/>
    </xf>
    <xf numFmtId="0" fontId="3" fillId="0" borderId="4" xfId="0" applyFont="1" applyFill="1" applyBorder="1"/>
    <xf numFmtId="5" fontId="3" fillId="0" borderId="4" xfId="6" applyNumberFormat="1" applyFont="1" applyFill="1" applyBorder="1"/>
    <xf numFmtId="5" fontId="3" fillId="0" borderId="1" xfId="3" applyNumberFormat="1" applyFont="1" applyFill="1" applyBorder="1"/>
    <xf numFmtId="5" fontId="3" fillId="0" borderId="0" xfId="6" applyNumberFormat="1" applyFont="1" applyFill="1"/>
    <xf numFmtId="5" fontId="3" fillId="0" borderId="0" xfId="0" applyNumberFormat="1" applyFont="1" applyFill="1" applyAlignment="1" applyProtection="1">
      <alignment horizontal="center"/>
      <protection locked="0"/>
    </xf>
    <xf numFmtId="5" fontId="2" fillId="0" borderId="4" xfId="0" applyNumberFormat="1" applyFont="1" applyFill="1" applyBorder="1" applyAlignment="1">
      <alignment vertical="center"/>
    </xf>
    <xf numFmtId="5" fontId="2" fillId="0" borderId="0" xfId="0" applyNumberFormat="1" applyFont="1" applyFill="1"/>
    <xf numFmtId="5" fontId="3" fillId="0" borderId="0" xfId="0" applyNumberFormat="1" applyFont="1" applyFill="1"/>
    <xf numFmtId="5" fontId="13" fillId="0" borderId="0" xfId="6" applyNumberFormat="1" applyFont="1" applyFill="1" applyBorder="1"/>
    <xf numFmtId="5" fontId="2" fillId="0" borderId="3" xfId="3" applyNumberFormat="1" applyFont="1" applyFill="1" applyBorder="1" applyAlignment="1">
      <alignment vertical="center"/>
    </xf>
    <xf numFmtId="0" fontId="33" fillId="0" borderId="0" xfId="0" applyFont="1" applyFill="1"/>
    <xf numFmtId="5" fontId="2" fillId="0" borderId="0" xfId="6" applyNumberFormat="1" applyFont="1" applyFill="1" applyBorder="1" applyAlignment="1">
      <alignment vertical="center"/>
    </xf>
    <xf numFmtId="5" fontId="1" fillId="0" borderId="0" xfId="6" applyNumberFormat="1" applyFill="1" applyBorder="1"/>
    <xf numFmtId="5" fontId="2" fillId="0" borderId="5" xfId="6" applyNumberFormat="1" applyFont="1" applyFill="1" applyBorder="1" applyAlignment="1">
      <alignment horizontal="right" vertical="center"/>
    </xf>
    <xf numFmtId="5" fontId="2" fillId="0" borderId="0" xfId="0" applyNumberFormat="1" applyFont="1" applyFill="1" applyBorder="1"/>
    <xf numFmtId="5" fontId="33" fillId="0" borderId="0" xfId="0" applyNumberFormat="1" applyFont="1" applyFill="1" applyBorder="1"/>
    <xf numFmtId="5" fontId="0" fillId="0" borderId="0" xfId="0" applyNumberFormat="1" applyFill="1" applyBorder="1"/>
    <xf numFmtId="166" fontId="18" fillId="0" borderId="0" xfId="0" applyNumberFormat="1" applyFont="1" applyFill="1" applyAlignment="1">
      <alignment vertical="center"/>
    </xf>
    <xf numFmtId="166" fontId="38" fillId="0" borderId="4" xfId="3" applyNumberFormat="1" applyFont="1" applyFill="1" applyBorder="1" applyAlignment="1">
      <alignment vertical="center"/>
    </xf>
    <xf numFmtId="5" fontId="34" fillId="0" borderId="0" xfId="6" applyNumberFormat="1" applyFont="1" applyFill="1" applyBorder="1"/>
    <xf numFmtId="5" fontId="1" fillId="0" borderId="1" xfId="6" applyNumberFormat="1" applyFill="1" applyBorder="1"/>
    <xf numFmtId="0" fontId="15" fillId="0" borderId="0" xfId="0" applyFont="1" applyFill="1"/>
    <xf numFmtId="0" fontId="0" fillId="0" borderId="0" xfId="0" applyFill="1" applyAlignment="1">
      <alignment horizontal="right"/>
    </xf>
    <xf numFmtId="0" fontId="7" fillId="0" borderId="0" xfId="0" applyFont="1" applyFill="1"/>
    <xf numFmtId="0" fontId="16" fillId="0" borderId="0" xfId="0" applyFont="1" applyFill="1"/>
    <xf numFmtId="0" fontId="2" fillId="0" borderId="4" xfId="0" applyFont="1" applyFill="1" applyBorder="1" applyAlignment="1">
      <alignment vertical="center"/>
    </xf>
    <xf numFmtId="0" fontId="8" fillId="0" borderId="0" xfId="0" applyFont="1" applyFill="1"/>
    <xf numFmtId="0" fontId="0" fillId="0" borderId="1" xfId="0" applyFill="1" applyBorder="1"/>
    <xf numFmtId="0" fontId="7" fillId="0" borderId="4" xfId="0" applyFont="1" applyFill="1" applyBorder="1" applyAlignment="1">
      <alignment vertical="center"/>
    </xf>
    <xf numFmtId="0" fontId="13" fillId="0" borderId="0" xfId="0" applyFont="1" applyFill="1"/>
    <xf numFmtId="0" fontId="16" fillId="0" borderId="0" xfId="0" applyFont="1" applyFill="1" applyAlignment="1">
      <alignment horizontal="left"/>
    </xf>
    <xf numFmtId="0" fontId="13" fillId="0" borderId="1" xfId="0" applyFont="1" applyFill="1" applyBorder="1"/>
    <xf numFmtId="0" fontId="2" fillId="0" borderId="4" xfId="0" applyFont="1" applyFill="1" applyBorder="1" applyAlignment="1">
      <alignment horizontal="left" vertical="center"/>
    </xf>
    <xf numFmtId="0" fontId="3" fillId="0" borderId="1" xfId="0" applyFont="1" applyFill="1" applyBorder="1"/>
    <xf numFmtId="0" fontId="3" fillId="0" borderId="0" xfId="0" applyFont="1" applyFill="1" applyBorder="1" applyAlignment="1">
      <alignment horizontal="left"/>
    </xf>
    <xf numFmtId="0" fontId="3" fillId="0" borderId="1" xfId="0" applyFont="1" applyFill="1" applyBorder="1" applyAlignment="1">
      <alignment horizontal="left"/>
    </xf>
    <xf numFmtId="0" fontId="2" fillId="0" borderId="0" xfId="0" applyFont="1" applyFill="1" applyAlignment="1">
      <alignment horizontal="left"/>
    </xf>
    <xf numFmtId="0" fontId="13" fillId="0" borderId="0" xfId="0" applyFont="1" applyFill="1" applyAlignment="1">
      <alignment horizontal="right"/>
    </xf>
    <xf numFmtId="0" fontId="2" fillId="0" borderId="3" xfId="0" applyFont="1" applyFill="1" applyBorder="1" applyAlignment="1">
      <alignment vertical="center"/>
    </xf>
    <xf numFmtId="0" fontId="0" fillId="0" borderId="0" xfId="0" applyFont="1" applyFill="1"/>
    <xf numFmtId="0" fontId="0" fillId="0" borderId="0" xfId="0" applyFill="1" applyAlignment="1">
      <alignment horizontal="center"/>
    </xf>
    <xf numFmtId="0" fontId="0" fillId="0" borderId="1" xfId="0" applyFill="1" applyBorder="1" applyAlignment="1">
      <alignment horizontal="center"/>
    </xf>
    <xf numFmtId="164" fontId="10" fillId="0" borderId="4" xfId="6" applyNumberFormat="1" applyFont="1" applyFill="1" applyBorder="1"/>
    <xf numFmtId="9" fontId="9" fillId="0" borderId="0" xfId="3" applyNumberFormat="1" applyFont="1" applyFill="1" applyBorder="1"/>
    <xf numFmtId="167" fontId="3" fillId="0" borderId="0" xfId="6" applyNumberFormat="1" applyFont="1" applyFill="1" applyBorder="1" applyAlignment="1"/>
    <xf numFmtId="5" fontId="3" fillId="0" borderId="0" xfId="0" applyNumberFormat="1" applyFont="1" applyFill="1" applyBorder="1" applyAlignment="1"/>
    <xf numFmtId="166" fontId="3" fillId="0" borderId="0" xfId="3" applyNumberFormat="1" applyFont="1" applyFill="1" applyBorder="1" applyAlignment="1"/>
    <xf numFmtId="0" fontId="3" fillId="0" borderId="0" xfId="0" applyFont="1" applyFill="1" applyBorder="1" applyAlignment="1"/>
    <xf numFmtId="0" fontId="3" fillId="0" borderId="3" xfId="0" applyFont="1" applyFill="1" applyBorder="1"/>
    <xf numFmtId="0" fontId="13" fillId="0" borderId="0" xfId="0" applyFont="1" applyFill="1" applyBorder="1"/>
    <xf numFmtId="0" fontId="2" fillId="0" borderId="1" xfId="0" applyFont="1" applyFill="1" applyBorder="1"/>
    <xf numFmtId="0" fontId="0" fillId="0" borderId="0" xfId="0" applyFill="1" applyAlignment="1">
      <alignment horizontal="left"/>
    </xf>
    <xf numFmtId="43" fontId="3" fillId="0" borderId="1" xfId="3" applyFont="1" applyFill="1" applyBorder="1"/>
    <xf numFmtId="43" fontId="0" fillId="0" borderId="0" xfId="3" applyFont="1" applyFill="1"/>
    <xf numFmtId="43" fontId="28" fillId="0" borderId="0" xfId="3" applyFont="1" applyFill="1"/>
    <xf numFmtId="5" fontId="1" fillId="0" borderId="2" xfId="6" applyNumberFormat="1" applyFill="1" applyBorder="1"/>
    <xf numFmtId="43" fontId="29" fillId="0" borderId="0" xfId="3" applyFont="1" applyFill="1"/>
    <xf numFmtId="0" fontId="2" fillId="0" borderId="0" xfId="0" applyFont="1" applyFill="1" applyBorder="1" applyAlignment="1">
      <alignment horizontal="center"/>
    </xf>
    <xf numFmtId="0" fontId="1" fillId="0" borderId="0" xfId="0" applyFont="1" applyFill="1"/>
    <xf numFmtId="43" fontId="1" fillId="0" borderId="0" xfId="3" applyFont="1" applyFill="1"/>
    <xf numFmtId="43" fontId="33" fillId="0" borderId="0" xfId="3" applyFont="1" applyFill="1"/>
    <xf numFmtId="0" fontId="1" fillId="0" borderId="0" xfId="0" applyFont="1" applyFill="1" applyBorder="1"/>
    <xf numFmtId="17" fontId="2" fillId="0" borderId="1" xfId="0" applyNumberFormat="1" applyFont="1" applyFill="1" applyBorder="1" applyAlignment="1">
      <alignment horizontal="center"/>
    </xf>
    <xf numFmtId="0" fontId="2" fillId="0" borderId="4" xfId="0" applyFont="1" applyFill="1" applyBorder="1"/>
    <xf numFmtId="5" fontId="2" fillId="0" borderId="4" xfId="3" applyNumberFormat="1" applyFont="1" applyFill="1" applyBorder="1"/>
    <xf numFmtId="169" fontId="2" fillId="0" borderId="1" xfId="0" applyNumberFormat="1" applyFont="1" applyFill="1" applyBorder="1" applyAlignment="1">
      <alignment horizontal="center"/>
    </xf>
    <xf numFmtId="5" fontId="34" fillId="0" borderId="0" xfId="3" applyNumberFormat="1" applyFont="1" applyFill="1" applyBorder="1"/>
    <xf numFmtId="5" fontId="34" fillId="0" borderId="0" xfId="0" applyNumberFormat="1" applyFont="1" applyFill="1" applyBorder="1"/>
    <xf numFmtId="5" fontId="2" fillId="0" borderId="4" xfId="0" applyNumberFormat="1" applyFont="1" applyFill="1" applyBorder="1"/>
    <xf numFmtId="10" fontId="3" fillId="0" borderId="0" xfId="18" applyNumberFormat="1" applyFont="1" applyFill="1" applyBorder="1"/>
    <xf numFmtId="5" fontId="3" fillId="0" borderId="0" xfId="1" applyNumberFormat="1" applyFont="1" applyFill="1" applyBorder="1"/>
    <xf numFmtId="5" fontId="3" fillId="0" borderId="0" xfId="0" applyNumberFormat="1" applyFont="1" applyFill="1" applyBorder="1" applyAlignment="1">
      <alignment vertical="center"/>
    </xf>
    <xf numFmtId="5" fontId="34" fillId="0" borderId="5" xfId="6" applyNumberFormat="1" applyFont="1" applyFill="1" applyBorder="1" applyAlignment="1">
      <alignment vertical="center"/>
    </xf>
    <xf numFmtId="3" fontId="9" fillId="0" borderId="0" xfId="3" applyNumberFormat="1" applyFont="1" applyFill="1" applyBorder="1"/>
    <xf numFmtId="9" fontId="3" fillId="0" borderId="0" xfId="3" applyNumberFormat="1" applyFont="1" applyFill="1" applyBorder="1"/>
    <xf numFmtId="164" fontId="3" fillId="0" borderId="0" xfId="0" applyNumberFormat="1" applyFont="1" applyFill="1" applyBorder="1"/>
    <xf numFmtId="2" fontId="3" fillId="0" borderId="0" xfId="0" applyNumberFormat="1" applyFont="1" applyFill="1" applyBorder="1"/>
    <xf numFmtId="0" fontId="2" fillId="0" borderId="0" xfId="0" applyFont="1" applyFill="1" applyBorder="1" applyAlignment="1">
      <alignment horizontal="left"/>
    </xf>
    <xf numFmtId="0" fontId="3" fillId="0" borderId="0" xfId="0" applyFont="1" applyFill="1" applyAlignment="1">
      <alignment horizontal="right"/>
    </xf>
    <xf numFmtId="44" fontId="0" fillId="0" borderId="0" xfId="6" applyFont="1" applyFill="1"/>
    <xf numFmtId="43" fontId="3" fillId="0" borderId="0" xfId="3" applyFont="1" applyFill="1" applyBorder="1"/>
    <xf numFmtId="44" fontId="0" fillId="0" borderId="0" xfId="0" applyNumberFormat="1" applyFill="1"/>
    <xf numFmtId="7" fontId="3" fillId="0" borderId="0" xfId="0" applyNumberFormat="1" applyFont="1" applyFill="1" applyBorder="1"/>
    <xf numFmtId="166" fontId="1" fillId="0" borderId="0" xfId="3" applyNumberFormat="1" applyFill="1" applyAlignment="1">
      <alignment horizontal="center"/>
    </xf>
    <xf numFmtId="0" fontId="8" fillId="0" borderId="0" xfId="0" applyFont="1" applyFill="1" applyBorder="1" applyAlignment="1">
      <alignment horizontal="center"/>
    </xf>
    <xf numFmtId="0" fontId="2" fillId="0" borderId="1" xfId="0" applyFont="1" applyFill="1" applyBorder="1" applyAlignment="1">
      <alignment horizontal="center"/>
    </xf>
    <xf numFmtId="17" fontId="2" fillId="0" borderId="0" xfId="0" applyNumberFormat="1" applyFont="1" applyFill="1" applyBorder="1"/>
    <xf numFmtId="5" fontId="0" fillId="0" borderId="0" xfId="3" applyNumberFormat="1" applyFont="1" applyFill="1"/>
    <xf numFmtId="0" fontId="4" fillId="0" borderId="0" xfId="0" applyFont="1" applyFill="1"/>
    <xf numFmtId="0" fontId="4" fillId="0" borderId="0" xfId="0" applyFont="1" applyFill="1" applyAlignment="1">
      <alignment horizontal="left"/>
    </xf>
    <xf numFmtId="5" fontId="34" fillId="0" borderId="0" xfId="3" applyNumberFormat="1" applyFont="1" applyFill="1"/>
    <xf numFmtId="5" fontId="34" fillId="0" borderId="0" xfId="3" applyNumberFormat="1" applyFont="1" applyFill="1" applyProtection="1">
      <protection locked="0"/>
    </xf>
    <xf numFmtId="0" fontId="1" fillId="0" borderId="0" xfId="0" applyFont="1" applyFill="1" applyAlignment="1">
      <alignment horizontal="left"/>
    </xf>
    <xf numFmtId="0" fontId="2" fillId="0" borderId="4" xfId="0" applyFont="1" applyFill="1" applyBorder="1" applyAlignment="1">
      <alignment horizontal="center" vertical="center"/>
    </xf>
    <xf numFmtId="5" fontId="2" fillId="0" borderId="4" xfId="3" applyNumberFormat="1" applyFont="1" applyFill="1" applyBorder="1" applyAlignment="1">
      <alignment horizontal="right" vertical="center"/>
    </xf>
    <xf numFmtId="5" fontId="2" fillId="0" borderId="3" xfId="3" applyNumberFormat="1" applyFont="1" applyFill="1" applyBorder="1" applyAlignment="1">
      <alignment horizontal="right"/>
    </xf>
    <xf numFmtId="5" fontId="0" fillId="0" borderId="0" xfId="0" applyNumberFormat="1" applyFill="1"/>
    <xf numFmtId="166" fontId="1" fillId="0" borderId="0" xfId="3" applyNumberFormat="1" applyFill="1"/>
    <xf numFmtId="5" fontId="0" fillId="0" borderId="1" xfId="0" applyNumberFormat="1" applyFill="1" applyBorder="1"/>
    <xf numFmtId="43" fontId="34" fillId="0" borderId="1" xfId="3" applyNumberFormat="1" applyFont="1" applyFill="1" applyBorder="1"/>
    <xf numFmtId="0" fontId="2" fillId="0" borderId="0" xfId="0" applyFont="1" applyFill="1" applyAlignment="1">
      <alignment horizontal="center"/>
    </xf>
    <xf numFmtId="5" fontId="1" fillId="0" borderId="0" xfId="3" applyNumberFormat="1" applyFill="1" applyBorder="1"/>
    <xf numFmtId="0" fontId="3" fillId="0" borderId="0" xfId="0" applyFont="1" applyFill="1" applyAlignment="1">
      <alignment vertical="top"/>
    </xf>
    <xf numFmtId="5" fontId="2" fillId="0" borderId="0" xfId="3" applyNumberFormat="1" applyFont="1" applyFill="1" applyBorder="1" applyAlignment="1">
      <alignment horizontal="right"/>
    </xf>
    <xf numFmtId="166" fontId="1" fillId="0" borderId="0" xfId="3" applyNumberFormat="1" applyFill="1" applyBorder="1"/>
    <xf numFmtId="168" fontId="1" fillId="0" borderId="0" xfId="3" applyNumberFormat="1" applyFill="1" applyBorder="1"/>
    <xf numFmtId="5" fontId="0" fillId="0" borderId="1" xfId="3" applyNumberFormat="1" applyFont="1" applyFill="1" applyBorder="1"/>
    <xf numFmtId="168" fontId="2" fillId="0" borderId="0" xfId="3" applyNumberFormat="1" applyFont="1" applyFill="1" applyBorder="1"/>
    <xf numFmtId="168" fontId="3" fillId="0" borderId="0" xfId="3" applyNumberFormat="1" applyFont="1" applyFill="1" applyBorder="1"/>
    <xf numFmtId="5" fontId="3" fillId="0" borderId="1" xfId="0" applyNumberFormat="1" applyFont="1" applyFill="1" applyBorder="1"/>
    <xf numFmtId="168" fontId="2" fillId="0" borderId="0" xfId="3" applyNumberFormat="1" applyFont="1" applyFill="1" applyBorder="1" applyAlignment="1">
      <alignment horizontal="right"/>
    </xf>
    <xf numFmtId="166" fontId="0" fillId="0" borderId="0" xfId="0" applyNumberFormat="1" applyFill="1"/>
    <xf numFmtId="166" fontId="34" fillId="0" borderId="0" xfId="3" applyNumberFormat="1" applyFont="1" applyFill="1"/>
    <xf numFmtId="166" fontId="0" fillId="0" borderId="0" xfId="3" applyNumberFormat="1" applyFont="1" applyFill="1"/>
    <xf numFmtId="0" fontId="0" fillId="0" borderId="0" xfId="0" applyNumberFormat="1" applyFill="1" applyAlignment="1">
      <alignment horizontal="center"/>
    </xf>
    <xf numFmtId="7" fontId="1" fillId="0" borderId="0" xfId="6" applyNumberFormat="1" applyFill="1"/>
    <xf numFmtId="165" fontId="1" fillId="0" borderId="0" xfId="6" applyNumberFormat="1" applyFill="1" applyBorder="1"/>
    <xf numFmtId="165" fontId="1" fillId="0" borderId="0" xfId="6" applyNumberFormat="1" applyFill="1"/>
    <xf numFmtId="164" fontId="1" fillId="0" borderId="0" xfId="3" applyNumberFormat="1" applyFill="1" applyBorder="1"/>
    <xf numFmtId="164" fontId="0" fillId="0" borderId="0" xfId="0" applyNumberFormat="1" applyFill="1"/>
    <xf numFmtId="164" fontId="0" fillId="0" borderId="1" xfId="0" applyNumberFormat="1" applyFill="1" applyBorder="1"/>
    <xf numFmtId="164" fontId="2" fillId="0" borderId="0" xfId="3" applyNumberFormat="1" applyFont="1" applyFill="1" applyBorder="1"/>
    <xf numFmtId="164" fontId="2" fillId="0" borderId="4" xfId="0" applyNumberFormat="1" applyFont="1" applyFill="1" applyBorder="1"/>
    <xf numFmtId="164" fontId="0" fillId="0" borderId="0" xfId="0" applyNumberFormat="1" applyFill="1" applyBorder="1"/>
    <xf numFmtId="5" fontId="7" fillId="0" borderId="4" xfId="0" applyNumberFormat="1" applyFont="1" applyFill="1" applyBorder="1" applyAlignment="1">
      <alignment vertical="center"/>
    </xf>
    <xf numFmtId="164" fontId="7" fillId="0" borderId="0" xfId="3" applyNumberFormat="1" applyFont="1" applyFill="1" applyBorder="1" applyAlignment="1">
      <alignment horizontal="right"/>
    </xf>
    <xf numFmtId="164" fontId="7" fillId="0" borderId="4" xfId="3" applyNumberFormat="1" applyFont="1" applyFill="1" applyBorder="1" applyAlignment="1">
      <alignment horizontal="right"/>
    </xf>
    <xf numFmtId="170" fontId="35" fillId="0" borderId="0" xfId="0" applyNumberFormat="1" applyFont="1" applyFill="1" applyAlignment="1">
      <alignment horizontal="center"/>
    </xf>
    <xf numFmtId="2" fontId="0" fillId="0" borderId="0" xfId="0" applyNumberFormat="1" applyFill="1"/>
    <xf numFmtId="5" fontId="13" fillId="0" borderId="0" xfId="3" applyNumberFormat="1" applyFont="1" applyFill="1"/>
    <xf numFmtId="164" fontId="27" fillId="0" borderId="0" xfId="3" applyNumberFormat="1" applyFont="1" applyFill="1" applyBorder="1"/>
    <xf numFmtId="0" fontId="0" fillId="0" borderId="4" xfId="0" applyFill="1" applyBorder="1" applyAlignment="1">
      <alignment horizontal="center" vertical="center"/>
    </xf>
    <xf numFmtId="164" fontId="2" fillId="0" borderId="4" xfId="0" applyNumberFormat="1" applyFont="1" applyFill="1" applyBorder="1" applyAlignment="1">
      <alignment vertical="center"/>
    </xf>
    <xf numFmtId="5" fontId="34" fillId="0" borderId="0" xfId="6" applyNumberFormat="1" applyFont="1" applyFill="1"/>
    <xf numFmtId="1" fontId="0" fillId="0" borderId="0" xfId="0" applyNumberFormat="1" applyFill="1"/>
    <xf numFmtId="0" fontId="2" fillId="0" borderId="3" xfId="0" applyFont="1" applyFill="1" applyBorder="1" applyAlignment="1">
      <alignment horizontal="center" vertical="center"/>
    </xf>
    <xf numFmtId="5" fontId="2" fillId="0" borderId="3" xfId="0" applyNumberFormat="1" applyFont="1" applyFill="1" applyBorder="1" applyAlignment="1">
      <alignment vertical="center"/>
    </xf>
    <xf numFmtId="164" fontId="2" fillId="0" borderId="0" xfId="0" applyNumberFormat="1" applyFont="1" applyFill="1"/>
    <xf numFmtId="0" fontId="18" fillId="0" borderId="0" xfId="0" applyFont="1" applyFill="1"/>
    <xf numFmtId="0" fontId="21" fillId="0" borderId="4" xfId="0" applyFont="1" applyFill="1" applyBorder="1" applyAlignment="1">
      <alignment vertical="center"/>
    </xf>
    <xf numFmtId="17" fontId="21" fillId="0" borderId="4" xfId="0" applyNumberFormat="1" applyFont="1" applyFill="1" applyBorder="1" applyAlignment="1">
      <alignment horizontal="center" vertical="center"/>
    </xf>
    <xf numFmtId="0" fontId="21" fillId="0" borderId="4" xfId="0" applyFont="1" applyFill="1" applyBorder="1" applyAlignment="1">
      <alignment horizontal="center" vertical="center"/>
    </xf>
    <xf numFmtId="0" fontId="18" fillId="0" borderId="0" xfId="0" quotePrefix="1" applyFont="1" applyFill="1" applyAlignment="1">
      <alignment horizontal="left" vertical="center"/>
    </xf>
    <xf numFmtId="166" fontId="22" fillId="0" borderId="0" xfId="3" applyNumberFormat="1" applyFont="1" applyFill="1" applyAlignment="1">
      <alignment vertical="center"/>
    </xf>
    <xf numFmtId="166" fontId="18" fillId="0" borderId="0" xfId="0" applyNumberFormat="1" applyFont="1" applyFill="1"/>
    <xf numFmtId="0" fontId="18" fillId="0" borderId="0" xfId="0" applyFont="1" applyFill="1" applyAlignment="1">
      <alignment vertical="center"/>
    </xf>
    <xf numFmtId="166" fontId="18" fillId="0" borderId="0" xfId="3" applyNumberFormat="1" applyFont="1" applyFill="1" applyAlignment="1">
      <alignment vertical="center"/>
    </xf>
    <xf numFmtId="0" fontId="18" fillId="0" borderId="0" xfId="0" applyFont="1" applyFill="1" applyAlignment="1">
      <alignment horizontal="center"/>
    </xf>
    <xf numFmtId="0" fontId="5" fillId="0" borderId="4" xfId="0" applyFont="1" applyFill="1" applyBorder="1" applyAlignment="1">
      <alignment horizontal="left" vertical="center"/>
    </xf>
    <xf numFmtId="166" fontId="5" fillId="0" borderId="4" xfId="3" applyNumberFormat="1" applyFont="1" applyFill="1" applyBorder="1" applyAlignment="1">
      <alignment vertical="center"/>
    </xf>
    <xf numFmtId="166" fontId="5" fillId="0" borderId="4" xfId="0" applyNumberFormat="1" applyFont="1" applyFill="1" applyBorder="1" applyAlignment="1">
      <alignment vertical="center"/>
    </xf>
    <xf numFmtId="166" fontId="18" fillId="0" borderId="0" xfId="3" applyNumberFormat="1" applyFont="1" applyFill="1"/>
    <xf numFmtId="0" fontId="5" fillId="0" borderId="0" xfId="0" quotePrefix="1" applyFont="1" applyFill="1" applyAlignment="1">
      <alignment horizontal="left" vertical="center"/>
    </xf>
    <xf numFmtId="166" fontId="37" fillId="0" borderId="0" xfId="3" applyNumberFormat="1" applyFont="1" applyFill="1" applyAlignment="1">
      <alignment vertical="center"/>
    </xf>
    <xf numFmtId="166" fontId="5" fillId="0" borderId="0" xfId="0" applyNumberFormat="1" applyFont="1" applyFill="1" applyAlignment="1">
      <alignment vertical="center"/>
    </xf>
    <xf numFmtId="0" fontId="5" fillId="0" borderId="4" xfId="0" applyFont="1" applyFill="1" applyBorder="1" applyAlignment="1">
      <alignment vertical="center"/>
    </xf>
    <xf numFmtId="166" fontId="38" fillId="0" borderId="4" xfId="0" applyNumberFormat="1" applyFont="1" applyFill="1" applyBorder="1" applyAlignment="1">
      <alignment vertical="center"/>
    </xf>
    <xf numFmtId="165" fontId="39" fillId="0" borderId="0" xfId="0" applyNumberFormat="1" applyFont="1" applyFill="1" applyAlignment="1">
      <alignment horizontal="right" vertical="center"/>
    </xf>
    <xf numFmtId="0" fontId="5" fillId="0" borderId="3" xfId="0" applyFont="1" applyFill="1" applyBorder="1" applyAlignment="1">
      <alignment vertical="center"/>
    </xf>
    <xf numFmtId="5" fontId="5" fillId="0" borderId="3" xfId="0" applyNumberFormat="1" applyFont="1" applyFill="1" applyBorder="1" applyAlignment="1">
      <alignment vertical="center"/>
    </xf>
    <xf numFmtId="0" fontId="18" fillId="0" borderId="0" xfId="0" quotePrefix="1" applyFont="1" applyFill="1" applyAlignment="1">
      <alignment horizontal="left"/>
    </xf>
    <xf numFmtId="0" fontId="23" fillId="0" borderId="0" xfId="0" applyFont="1" applyFill="1" applyAlignment="1">
      <alignment horizontal="left"/>
    </xf>
    <xf numFmtId="0" fontId="5" fillId="0" borderId="4" xfId="0" applyFont="1" applyFill="1" applyBorder="1" applyAlignment="1">
      <alignment horizontal="left" vertical="center" wrapText="1"/>
    </xf>
    <xf numFmtId="17" fontId="21" fillId="0" borderId="4" xfId="0" applyNumberFormat="1" applyFont="1" applyFill="1" applyBorder="1" applyAlignment="1">
      <alignment vertical="center"/>
    </xf>
    <xf numFmtId="0" fontId="5" fillId="0" borderId="0" xfId="0" applyFont="1" applyFill="1" applyBorder="1" applyAlignment="1">
      <alignment horizontal="left" vertical="center" wrapText="1"/>
    </xf>
    <xf numFmtId="5" fontId="5" fillId="0" borderId="0" xfId="0" applyNumberFormat="1" applyFont="1" applyFill="1" applyBorder="1" applyAlignment="1">
      <alignment vertical="center"/>
    </xf>
    <xf numFmtId="0" fontId="40" fillId="0" borderId="0" xfId="0" applyFont="1" applyFill="1" applyBorder="1"/>
    <xf numFmtId="0" fontId="41" fillId="0" borderId="0" xfId="0" applyFont="1" applyFill="1" applyBorder="1" applyAlignment="1">
      <alignment horizontal="center"/>
    </xf>
    <xf numFmtId="0" fontId="23" fillId="0" borderId="0" xfId="0" applyFont="1" applyFill="1"/>
    <xf numFmtId="43" fontId="2" fillId="0" borderId="0" xfId="3" applyFont="1" applyFill="1" applyBorder="1" applyAlignment="1">
      <alignment horizontal="center"/>
    </xf>
    <xf numFmtId="0" fontId="1" fillId="0" borderId="0" xfId="0" applyFont="1" applyFill="1" applyBorder="1" applyAlignment="1">
      <alignment horizontal="center"/>
    </xf>
    <xf numFmtId="43" fontId="3" fillId="0" borderId="0" xfId="4" applyFont="1" applyFill="1" applyBorder="1"/>
    <xf numFmtId="43" fontId="3" fillId="0" borderId="0" xfId="4" applyFont="1" applyFill="1" applyBorder="1" applyAlignment="1">
      <alignment horizontal="center"/>
    </xf>
    <xf numFmtId="0" fontId="1" fillId="0" borderId="0" xfId="0" applyFont="1" applyFill="1" applyAlignment="1">
      <alignment horizontal="center"/>
    </xf>
    <xf numFmtId="10" fontId="3" fillId="0" borderId="0" xfId="19" applyNumberFormat="1" applyFont="1" applyFill="1" applyBorder="1"/>
    <xf numFmtId="10" fontId="0" fillId="0" borderId="0" xfId="18" applyNumberFormat="1" applyFont="1" applyFill="1"/>
    <xf numFmtId="0" fontId="1" fillId="0" borderId="0" xfId="0" applyFont="1" applyFill="1" applyAlignment="1">
      <alignment horizontal="right"/>
    </xf>
    <xf numFmtId="43" fontId="30" fillId="0" borderId="0" xfId="3" applyFont="1" applyFill="1"/>
    <xf numFmtId="166" fontId="3" fillId="0" borderId="0" xfId="4" applyNumberFormat="1" applyFont="1" applyFill="1"/>
    <xf numFmtId="43" fontId="3" fillId="0" borderId="0" xfId="4" applyFont="1" applyFill="1"/>
    <xf numFmtId="0" fontId="2" fillId="0" borderId="0" xfId="0" applyFont="1" applyFill="1" applyBorder="1" applyAlignment="1">
      <alignment horizontal="center"/>
    </xf>
    <xf numFmtId="0" fontId="5" fillId="0" borderId="0" xfId="0" applyFont="1" applyFill="1" applyBorder="1" applyAlignment="1">
      <alignment horizontal="center"/>
    </xf>
    <xf numFmtId="164" fontId="3" fillId="0" borderId="0" xfId="0" applyNumberFormat="1" applyFont="1" applyFill="1" applyBorder="1" applyAlignment="1">
      <alignment horizontal="right"/>
    </xf>
    <xf numFmtId="0" fontId="2" fillId="0" borderId="1" xfId="0" applyFont="1" applyFill="1" applyBorder="1" applyAlignment="1">
      <alignment horizontal="center"/>
    </xf>
    <xf numFmtId="164" fontId="3" fillId="0" borderId="5" xfId="0" applyNumberFormat="1" applyFont="1" applyFill="1" applyBorder="1" applyAlignment="1">
      <alignment horizontal="right"/>
    </xf>
    <xf numFmtId="5" fontId="3" fillId="0" borderId="0" xfId="0" applyNumberFormat="1" applyFont="1" applyFill="1" applyBorder="1" applyAlignment="1">
      <alignment horizontal="right"/>
    </xf>
    <xf numFmtId="164" fontId="2" fillId="0" borderId="4" xfId="0" applyNumberFormat="1" applyFont="1" applyFill="1" applyBorder="1" applyAlignment="1">
      <alignment horizontal="right"/>
    </xf>
    <xf numFmtId="5" fontId="34" fillId="0" borderId="0" xfId="6" applyNumberFormat="1" applyFont="1" applyFill="1" applyBorder="1" applyAlignment="1">
      <alignment horizontal="right"/>
    </xf>
    <xf numFmtId="164" fontId="36" fillId="0" borderId="4" xfId="0" applyNumberFormat="1" applyFont="1" applyFill="1" applyBorder="1" applyAlignment="1">
      <alignment horizontal="center" wrapText="1"/>
    </xf>
    <xf numFmtId="164" fontId="2" fillId="0" borderId="4" xfId="0" applyNumberFormat="1" applyFont="1" applyFill="1" applyBorder="1" applyAlignment="1">
      <alignment horizontal="center" wrapText="1"/>
    </xf>
    <xf numFmtId="5" fontId="3" fillId="0" borderId="0" xfId="6" applyNumberFormat="1" applyFont="1" applyFill="1" applyBorder="1" applyAlignment="1">
      <alignment horizontal="right"/>
    </xf>
    <xf numFmtId="0" fontId="2" fillId="0" borderId="3" xfId="0" applyFont="1" applyFill="1" applyBorder="1" applyAlignment="1">
      <alignment horizontal="left" wrapText="1"/>
    </xf>
    <xf numFmtId="0" fontId="3" fillId="0" borderId="1" xfId="0" applyFont="1" applyFill="1" applyBorder="1" applyAlignment="1">
      <alignment horizontal="left" vertical="center" wrapText="1"/>
    </xf>
    <xf numFmtId="0" fontId="2" fillId="0" borderId="4" xfId="0" applyFont="1" applyFill="1" applyBorder="1" applyAlignment="1">
      <alignment horizontal="left" vertical="center" wrapText="1"/>
    </xf>
    <xf numFmtId="5" fontId="3" fillId="0" borderId="4" xfId="6" applyNumberFormat="1" applyFont="1" applyFill="1" applyBorder="1" applyAlignment="1">
      <alignment horizontal="right"/>
    </xf>
    <xf numFmtId="0" fontId="2" fillId="0" borderId="5" xfId="0" applyFont="1" applyFill="1" applyBorder="1" applyAlignment="1">
      <alignment horizontal="left" wrapText="1"/>
    </xf>
    <xf numFmtId="5" fontId="3" fillId="0" borderId="1" xfId="6" applyNumberFormat="1" applyFont="1" applyFill="1" applyBorder="1" applyAlignment="1">
      <alignment horizontal="right" vertical="center"/>
    </xf>
    <xf numFmtId="5" fontId="2" fillId="0" borderId="5" xfId="6" applyNumberFormat="1" applyFont="1" applyFill="1" applyBorder="1" applyAlignment="1">
      <alignment horizontal="right" vertical="center"/>
    </xf>
    <xf numFmtId="5" fontId="2" fillId="0" borderId="4" xfId="0" applyNumberFormat="1" applyFont="1" applyFill="1" applyBorder="1" applyAlignment="1">
      <alignment horizontal="right"/>
    </xf>
    <xf numFmtId="0" fontId="2" fillId="0" borderId="0" xfId="0" applyFont="1" applyFill="1" applyAlignment="1">
      <alignment horizontal="center"/>
    </xf>
    <xf numFmtId="0" fontId="5" fillId="0" borderId="0" xfId="0" applyFont="1" applyFill="1" applyAlignment="1">
      <alignment horizontal="center"/>
    </xf>
    <xf numFmtId="0" fontId="19" fillId="0" borderId="0" xfId="0" applyFont="1" applyFill="1" applyAlignment="1">
      <alignment horizontal="center"/>
    </xf>
    <xf numFmtId="0" fontId="20" fillId="0" borderId="0" xfId="0" applyFont="1" applyFill="1" applyAlignment="1">
      <alignment horizontal="center"/>
    </xf>
    <xf numFmtId="171" fontId="37" fillId="0" borderId="0" xfId="0" applyNumberFormat="1" applyFont="1" applyFill="1" applyAlignment="1">
      <alignment horizontal="center"/>
    </xf>
  </cellXfs>
  <cellStyles count="21">
    <cellStyle name="Accent3" xfId="1" builtinId="37"/>
    <cellStyle name="Accent3 2" xfId="2"/>
    <cellStyle name="Comma" xfId="3" builtinId="3"/>
    <cellStyle name="Comma 2" xfId="4"/>
    <cellStyle name="Comma 3" xfId="5"/>
    <cellStyle name="Currency" xfId="6" builtinId="4"/>
    <cellStyle name="Currency 2" xfId="7"/>
    <cellStyle name="Currency 3" xfId="8"/>
    <cellStyle name="Currency 4" xfId="9"/>
    <cellStyle name="Normal" xfId="0" builtinId="0"/>
    <cellStyle name="Normal 2" xfId="10"/>
    <cellStyle name="Normal 2 2" xfId="11"/>
    <cellStyle name="Normal 2 2 2" xfId="12"/>
    <cellStyle name="Normal 2 3" xfId="13"/>
    <cellStyle name="Normal 3" xfId="14"/>
    <cellStyle name="Normal 4" xfId="15"/>
    <cellStyle name="Normal 5" xfId="16"/>
    <cellStyle name="Normal 6" xfId="17"/>
    <cellStyle name="Percent" xfId="18" builtinId="5"/>
    <cellStyle name="Percent 2" xfId="19"/>
    <cellStyle name="Percent 3" xfId="20"/>
  </cellStyles>
  <dxfs count="1">
    <dxf>
      <fill>
        <patternFill>
          <bgColor indexed="2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92"/>
  <sheetViews>
    <sheetView workbookViewId="0">
      <selection activeCell="A59" sqref="A59"/>
    </sheetView>
  </sheetViews>
  <sheetFormatPr defaultRowHeight="12.75"/>
  <cols>
    <col min="1" max="1" width="9.140625" style="4"/>
    <col min="2" max="2" width="39.28515625" style="4" bestFit="1" customWidth="1"/>
    <col min="3" max="6" width="14" style="4" bestFit="1" customWidth="1"/>
    <col min="7" max="12" width="13.5703125" style="4" bestFit="1" customWidth="1"/>
    <col min="13" max="14" width="14" style="4" bestFit="1" customWidth="1"/>
    <col min="15" max="15" width="78.85546875" style="4" bestFit="1" customWidth="1"/>
    <col min="16" max="16" width="174" style="4" bestFit="1" customWidth="1"/>
    <col min="17" max="16384" width="9.140625" style="4"/>
  </cols>
  <sheetData>
    <row r="1" spans="1:15">
      <c r="O1" s="3" t="s">
        <v>155</v>
      </c>
    </row>
    <row r="2" spans="1:15">
      <c r="C2" s="91">
        <v>43496</v>
      </c>
      <c r="D2" s="91">
        <f>EOMONTH(C2,1)</f>
        <v>43524</v>
      </c>
      <c r="E2" s="91">
        <f t="shared" ref="E2:N2" si="0">EOMONTH(D2,1)</f>
        <v>43555</v>
      </c>
      <c r="F2" s="91">
        <f t="shared" si="0"/>
        <v>43585</v>
      </c>
      <c r="G2" s="91">
        <f t="shared" si="0"/>
        <v>43616</v>
      </c>
      <c r="H2" s="91">
        <f t="shared" si="0"/>
        <v>43646</v>
      </c>
      <c r="I2" s="91">
        <f t="shared" si="0"/>
        <v>43677</v>
      </c>
      <c r="J2" s="91">
        <f t="shared" si="0"/>
        <v>43708</v>
      </c>
      <c r="K2" s="91">
        <f t="shared" si="0"/>
        <v>43738</v>
      </c>
      <c r="L2" s="91">
        <f t="shared" si="0"/>
        <v>43769</v>
      </c>
      <c r="M2" s="91">
        <f t="shared" si="0"/>
        <v>43799</v>
      </c>
      <c r="N2" s="91">
        <f t="shared" si="0"/>
        <v>43830</v>
      </c>
    </row>
    <row r="3" spans="1:15">
      <c r="A3" s="26" t="s">
        <v>161</v>
      </c>
      <c r="C3" s="198"/>
      <c r="D3" s="198"/>
      <c r="E3" s="198"/>
      <c r="F3" s="198"/>
      <c r="G3" s="198"/>
      <c r="H3" s="198"/>
      <c r="I3" s="198"/>
      <c r="J3" s="198"/>
      <c r="K3" s="198"/>
      <c r="L3" s="198"/>
      <c r="M3" s="198"/>
      <c r="N3" s="198"/>
    </row>
    <row r="4" spans="1:15">
      <c r="B4" s="79" t="s">
        <v>11</v>
      </c>
      <c r="C4" s="81"/>
      <c r="D4" s="198"/>
      <c r="E4" s="198"/>
      <c r="F4" s="198"/>
      <c r="G4" s="198"/>
      <c r="H4" s="198"/>
      <c r="I4" s="198"/>
      <c r="J4" s="198"/>
      <c r="K4" s="198"/>
      <c r="L4" s="198"/>
      <c r="M4" s="198"/>
      <c r="N4" s="198"/>
    </row>
    <row r="5" spans="1:15">
      <c r="A5" s="199">
        <f>'WA Summary '!A15</f>
        <v>9</v>
      </c>
      <c r="B5" s="2" t="s">
        <v>3</v>
      </c>
      <c r="C5" s="200">
        <v>11810646.23</v>
      </c>
      <c r="D5" s="201">
        <v>10948943.210000001</v>
      </c>
      <c r="E5" s="201">
        <v>10208755.66</v>
      </c>
      <c r="F5" s="201">
        <v>9754466.1899999995</v>
      </c>
      <c r="G5" s="201">
        <v>7204007.3300000001</v>
      </c>
      <c r="H5" s="201">
        <v>6832768.3600000003</v>
      </c>
      <c r="I5" s="201">
        <v>7367141.2599999998</v>
      </c>
      <c r="J5" s="201">
        <v>8064915.6600000001</v>
      </c>
      <c r="K5" s="201">
        <v>7448796.1699999999</v>
      </c>
      <c r="L5" s="201">
        <v>7999787.46</v>
      </c>
      <c r="M5" s="201">
        <v>11642227.199999999</v>
      </c>
      <c r="N5" s="201">
        <v>12112599.34</v>
      </c>
    </row>
    <row r="6" spans="1:15">
      <c r="A6" s="199">
        <f>'WA Summary '!A16</f>
        <v>10</v>
      </c>
      <c r="B6" s="2" t="s">
        <v>6</v>
      </c>
      <c r="C6" s="200">
        <v>-5410854.46</v>
      </c>
      <c r="D6" s="201">
        <v>-3688134.45</v>
      </c>
      <c r="E6" s="201">
        <v>-4363040.83</v>
      </c>
      <c r="F6" s="201">
        <v>-6216671.5899999999</v>
      </c>
      <c r="G6" s="201">
        <v>-3992970.36</v>
      </c>
      <c r="H6" s="201">
        <v>-3782255.59</v>
      </c>
      <c r="I6" s="201">
        <v>-5325599.3499999996</v>
      </c>
      <c r="J6" s="201">
        <v>-3215250.64</v>
      </c>
      <c r="K6" s="201">
        <v>-4016772.06</v>
      </c>
      <c r="L6" s="201">
        <v>-3304258.83</v>
      </c>
      <c r="M6" s="201">
        <v>-4468024.59</v>
      </c>
      <c r="N6" s="201">
        <v>-6320022.7000000002</v>
      </c>
    </row>
    <row r="7" spans="1:15">
      <c r="A7" s="199">
        <f>'WA Summary '!A17</f>
        <v>11</v>
      </c>
      <c r="B7" s="2" t="s">
        <v>4</v>
      </c>
      <c r="C7" s="200">
        <v>2892906.32</v>
      </c>
      <c r="D7" s="201">
        <v>2671552.1800000002</v>
      </c>
      <c r="E7" s="201">
        <v>2768328.21</v>
      </c>
      <c r="F7" s="201">
        <v>2491504.9500000002</v>
      </c>
      <c r="G7" s="201">
        <v>1551263.17</v>
      </c>
      <c r="H7" s="201">
        <v>1358750.78</v>
      </c>
      <c r="I7" s="201">
        <v>2219592.2200000002</v>
      </c>
      <c r="J7" s="201">
        <v>2478124.66</v>
      </c>
      <c r="K7" s="201">
        <v>2578207.41</v>
      </c>
      <c r="L7" s="201">
        <v>2592986.98</v>
      </c>
      <c r="M7" s="201">
        <v>2566832.77</v>
      </c>
      <c r="N7" s="201">
        <v>2703883.73</v>
      </c>
    </row>
    <row r="8" spans="1:15">
      <c r="A8" s="199">
        <f>'WA Summary '!A18</f>
        <v>12</v>
      </c>
      <c r="B8" s="2" t="s">
        <v>5</v>
      </c>
      <c r="C8" s="200">
        <v>8800466.8599999994</v>
      </c>
      <c r="D8" s="201">
        <v>7046200.3099999996</v>
      </c>
      <c r="E8" s="201">
        <v>6405716.6299999999</v>
      </c>
      <c r="F8" s="201">
        <v>4139184.54</v>
      </c>
      <c r="G8" s="201">
        <v>1426182.27</v>
      </c>
      <c r="H8" s="201">
        <v>1698326.77</v>
      </c>
      <c r="I8" s="201">
        <v>5653252.0099999998</v>
      </c>
      <c r="J8" s="201">
        <v>7341418.3399999999</v>
      </c>
      <c r="K8" s="201">
        <v>6493557.54</v>
      </c>
      <c r="L8" s="201">
        <v>6103470.4500000002</v>
      </c>
      <c r="M8" s="201">
        <v>6561954.4000000004</v>
      </c>
      <c r="N8" s="201">
        <v>8397560.5700000003</v>
      </c>
    </row>
    <row r="9" spans="1:15">
      <c r="A9" s="199">
        <f>'WA Summary '!A19</f>
        <v>13</v>
      </c>
      <c r="B9" s="2" t="s">
        <v>42</v>
      </c>
      <c r="C9" s="200">
        <v>-1062694.25</v>
      </c>
      <c r="D9" s="201">
        <v>-1178480.71</v>
      </c>
      <c r="E9" s="201">
        <v>-1177115.3999999999</v>
      </c>
      <c r="F9" s="201">
        <v>-1141305.3700000001</v>
      </c>
      <c r="G9" s="201">
        <v>-1253487.52</v>
      </c>
      <c r="H9" s="201">
        <v>-1398528.7</v>
      </c>
      <c r="I9" s="201">
        <v>-1450378.42</v>
      </c>
      <c r="J9" s="201">
        <v>-1346818.86</v>
      </c>
      <c r="K9" s="201">
        <v>-1372212.68</v>
      </c>
      <c r="L9" s="201">
        <v>-1319316.33</v>
      </c>
      <c r="M9" s="201">
        <v>-1257650.3400000001</v>
      </c>
      <c r="N9" s="201">
        <v>-1191496.26</v>
      </c>
    </row>
    <row r="10" spans="1:15">
      <c r="A10" s="199">
        <f>'WA Summary '!A20</f>
        <v>14</v>
      </c>
      <c r="B10" s="2" t="s">
        <v>36</v>
      </c>
      <c r="C10" s="200">
        <v>1386858.05</v>
      </c>
      <c r="D10" s="201">
        <v>1618473.12</v>
      </c>
      <c r="E10" s="201">
        <v>1456728.23</v>
      </c>
      <c r="F10" s="201">
        <v>1423781.13</v>
      </c>
      <c r="G10" s="201">
        <v>1394142.28</v>
      </c>
      <c r="H10" s="201">
        <v>1391307.66</v>
      </c>
      <c r="I10" s="201">
        <v>1452951.07</v>
      </c>
      <c r="J10" s="201">
        <v>1443201.71</v>
      </c>
      <c r="K10" s="201">
        <v>1567440.78</v>
      </c>
      <c r="L10" s="201">
        <v>1406860.96</v>
      </c>
      <c r="M10" s="201">
        <v>1416448.5</v>
      </c>
      <c r="N10" s="201">
        <v>1446134.29</v>
      </c>
    </row>
    <row r="11" spans="1:15">
      <c r="A11" s="199">
        <f>'WA Summary '!A21</f>
        <v>15</v>
      </c>
      <c r="B11" s="2" t="s">
        <v>37</v>
      </c>
      <c r="C11" s="200">
        <v>34250</v>
      </c>
      <c r="D11" s="201">
        <v>34250</v>
      </c>
      <c r="E11" s="201">
        <v>34250</v>
      </c>
      <c r="F11" s="201">
        <v>34250</v>
      </c>
      <c r="G11" s="201">
        <v>34250</v>
      </c>
      <c r="H11" s="201">
        <v>34250</v>
      </c>
      <c r="I11" s="201">
        <v>34250</v>
      </c>
      <c r="J11" s="201">
        <v>34250</v>
      </c>
      <c r="K11" s="201">
        <v>34250</v>
      </c>
      <c r="L11" s="201">
        <v>34250</v>
      </c>
      <c r="M11" s="201">
        <v>34250</v>
      </c>
      <c r="N11" s="201">
        <v>34250</v>
      </c>
    </row>
    <row r="12" spans="1:15">
      <c r="A12" s="202">
        <f>'WA Summary '!A22</f>
        <v>16</v>
      </c>
      <c r="B12" s="3" t="s">
        <v>168</v>
      </c>
      <c r="C12" s="201">
        <v>-165583.32999999999</v>
      </c>
      <c r="D12" s="201">
        <v>-165583.32999999999</v>
      </c>
      <c r="E12" s="201">
        <v>-165583.32999999999</v>
      </c>
      <c r="F12" s="201">
        <v>-165583.32999999999</v>
      </c>
      <c r="G12" s="201">
        <v>-165583.32999999999</v>
      </c>
      <c r="H12" s="201">
        <v>-165583.32999999999</v>
      </c>
      <c r="I12" s="201">
        <v>-165583.32999999999</v>
      </c>
      <c r="J12" s="201">
        <v>-165583.32999999999</v>
      </c>
      <c r="K12" s="201">
        <v>-165583.32999999999</v>
      </c>
      <c r="L12" s="201">
        <v>-165583.32999999999</v>
      </c>
      <c r="M12" s="201">
        <v>-165583.32999999999</v>
      </c>
      <c r="N12" s="201">
        <v>-165583.32999999999</v>
      </c>
      <c r="O12" s="87" t="s">
        <v>184</v>
      </c>
    </row>
    <row r="13" spans="1:15">
      <c r="A13" s="202">
        <f>'WA Summary '!A27</f>
        <v>21</v>
      </c>
      <c r="B13" s="2" t="s">
        <v>71</v>
      </c>
      <c r="C13" s="203">
        <v>0.6573</v>
      </c>
      <c r="D13" s="203">
        <v>0.6573</v>
      </c>
      <c r="E13" s="203">
        <v>0.6573</v>
      </c>
      <c r="F13" s="203">
        <v>0.6573</v>
      </c>
      <c r="G13" s="204">
        <v>0.6573</v>
      </c>
      <c r="H13" s="204">
        <v>0.6573</v>
      </c>
      <c r="I13" s="204">
        <v>0.6573</v>
      </c>
      <c r="J13" s="204">
        <v>0.6573</v>
      </c>
      <c r="K13" s="204">
        <v>0.6573</v>
      </c>
      <c r="L13" s="204">
        <v>0.6573</v>
      </c>
      <c r="M13" s="204">
        <v>0.6573</v>
      </c>
      <c r="N13" s="204">
        <v>0.6573</v>
      </c>
    </row>
    <row r="14" spans="1:15">
      <c r="C14" s="198"/>
      <c r="D14" s="198"/>
      <c r="E14" s="198"/>
      <c r="F14" s="198"/>
      <c r="G14" s="198"/>
      <c r="H14" s="198"/>
      <c r="I14" s="198"/>
      <c r="J14" s="198"/>
      <c r="K14" s="198"/>
      <c r="L14" s="198"/>
      <c r="M14" s="198"/>
      <c r="N14" s="198"/>
    </row>
    <row r="16" spans="1:15">
      <c r="C16" s="198"/>
      <c r="D16" s="198"/>
      <c r="E16" s="198"/>
      <c r="F16" s="198"/>
      <c r="G16" s="198"/>
      <c r="H16" s="198"/>
      <c r="I16" s="198"/>
      <c r="J16" s="198"/>
      <c r="K16" s="198"/>
      <c r="L16" s="198"/>
      <c r="M16" s="198"/>
      <c r="N16" s="198"/>
    </row>
    <row r="17" spans="1:16">
      <c r="A17" s="26" t="s">
        <v>154</v>
      </c>
      <c r="C17" s="198"/>
      <c r="D17" s="198"/>
      <c r="E17" s="198"/>
      <c r="F17" s="198"/>
      <c r="G17" s="198"/>
      <c r="H17" s="198"/>
      <c r="I17" s="198"/>
      <c r="J17" s="198"/>
      <c r="K17" s="198"/>
      <c r="L17" s="198"/>
      <c r="M17" s="198"/>
      <c r="N17" s="198"/>
    </row>
    <row r="18" spans="1:16">
      <c r="B18" s="53" t="s">
        <v>12</v>
      </c>
      <c r="C18" s="82"/>
      <c r="D18" s="82"/>
      <c r="E18" s="82"/>
      <c r="F18" s="82"/>
      <c r="G18" s="82"/>
      <c r="H18" s="82"/>
      <c r="I18" s="82"/>
      <c r="J18" s="82"/>
      <c r="K18" s="82"/>
      <c r="L18" s="82"/>
      <c r="M18" s="82"/>
      <c r="N18" s="82"/>
    </row>
    <row r="19" spans="1:16">
      <c r="A19" s="69">
        <f>'WA Monthly'!A8</f>
        <v>2</v>
      </c>
      <c r="B19" s="2" t="s">
        <v>107</v>
      </c>
      <c r="C19" s="82">
        <v>1277784.8999999999</v>
      </c>
      <c r="D19" s="82">
        <v>1277784.8999999999</v>
      </c>
      <c r="E19" s="82">
        <v>1277784.8999999999</v>
      </c>
      <c r="F19" s="82">
        <v>1277784.8999999999</v>
      </c>
      <c r="G19" s="82">
        <v>1277784.8999999999</v>
      </c>
      <c r="H19" s="82">
        <v>1277784.8999999999</v>
      </c>
      <c r="I19" s="82">
        <v>1277784.8999999999</v>
      </c>
      <c r="J19" s="82">
        <v>1277784.8999999999</v>
      </c>
      <c r="K19" s="82"/>
      <c r="L19" s="82"/>
      <c r="M19" s="82"/>
      <c r="N19" s="82"/>
    </row>
    <row r="20" spans="1:16">
      <c r="A20" s="69">
        <f>'WA Monthly'!A9</f>
        <v>3</v>
      </c>
      <c r="B20" s="2" t="s">
        <v>108</v>
      </c>
      <c r="C20" s="82">
        <v>63699</v>
      </c>
      <c r="D20" s="82">
        <f>55712.62-3.62</f>
        <v>55709</v>
      </c>
      <c r="E20" s="82">
        <f>57608.21-18.21</f>
        <v>57590</v>
      </c>
      <c r="F20" s="82">
        <f>40007.9-9.9</f>
        <v>39998</v>
      </c>
      <c r="G20" s="82">
        <f>67642.99-8.99</f>
        <v>67634</v>
      </c>
      <c r="H20" s="82">
        <f>57534.67-8.67</f>
        <v>57526</v>
      </c>
      <c r="I20" s="82">
        <f>121259.95-15.95</f>
        <v>121244</v>
      </c>
      <c r="J20" s="82">
        <f>124913.64-14.64</f>
        <v>124899</v>
      </c>
      <c r="K20" s="82"/>
      <c r="L20" s="89"/>
      <c r="M20" s="82"/>
      <c r="N20" s="82"/>
    </row>
    <row r="21" spans="1:16">
      <c r="A21" s="69">
        <f>'WA Monthly'!A10</f>
        <v>4</v>
      </c>
      <c r="B21" s="90" t="s">
        <v>186</v>
      </c>
      <c r="C21" s="82">
        <v>152948</v>
      </c>
      <c r="D21" s="82">
        <v>152948</v>
      </c>
      <c r="E21" s="82">
        <v>152948</v>
      </c>
      <c r="F21" s="82">
        <v>152948</v>
      </c>
      <c r="G21" s="82">
        <v>152948</v>
      </c>
      <c r="H21" s="82">
        <v>152948</v>
      </c>
      <c r="I21" s="82">
        <v>152948</v>
      </c>
      <c r="J21" s="82">
        <v>152948</v>
      </c>
      <c r="K21" s="82"/>
      <c r="L21" s="82"/>
      <c r="M21" s="82"/>
      <c r="N21" s="82"/>
    </row>
    <row r="22" spans="1:16">
      <c r="A22" s="69">
        <f>'WA Monthly'!A11</f>
        <v>5</v>
      </c>
      <c r="B22" s="2" t="s">
        <v>109</v>
      </c>
      <c r="C22" s="82">
        <v>776465.53</v>
      </c>
      <c r="D22" s="82">
        <v>776465.53</v>
      </c>
      <c r="E22" s="82">
        <v>776465.53</v>
      </c>
      <c r="F22" s="82">
        <f>776465.53+120036.48</f>
        <v>896502.01</v>
      </c>
      <c r="G22" s="82">
        <v>776465.53</v>
      </c>
      <c r="H22" s="82">
        <v>776465.53</v>
      </c>
      <c r="I22" s="82">
        <v>776465.53</v>
      </c>
      <c r="J22" s="82">
        <v>776465.53</v>
      </c>
      <c r="K22" s="82"/>
      <c r="L22" s="82"/>
      <c r="M22" s="82"/>
      <c r="N22" s="82"/>
    </row>
    <row r="23" spans="1:16" ht="14.25">
      <c r="A23" s="69">
        <f>'WA Monthly'!A12</f>
        <v>6</v>
      </c>
      <c r="B23" s="3" t="s">
        <v>110</v>
      </c>
      <c r="C23" s="82">
        <v>2751195.2</v>
      </c>
      <c r="D23" s="82">
        <v>2485973.0499999998</v>
      </c>
      <c r="E23" s="82">
        <v>1358265.8</v>
      </c>
      <c r="F23" s="82">
        <v>1315483.6200000001</v>
      </c>
      <c r="G23" s="83"/>
      <c r="H23" s="83"/>
      <c r="I23" s="83"/>
      <c r="J23" s="83"/>
      <c r="K23" s="83"/>
      <c r="L23" s="83"/>
      <c r="M23" s="82"/>
      <c r="N23" s="82"/>
    </row>
    <row r="24" spans="1:16">
      <c r="A24" s="69">
        <f>'WA Monthly'!A13</f>
        <v>7</v>
      </c>
      <c r="B24" s="4" t="s">
        <v>104</v>
      </c>
      <c r="C24" s="82">
        <v>972.75</v>
      </c>
      <c r="D24" s="82">
        <v>1128.1500000000001</v>
      </c>
      <c r="E24" s="82">
        <v>1325.55</v>
      </c>
      <c r="F24" s="82">
        <v>1014.75</v>
      </c>
      <c r="G24" s="82">
        <v>699.75</v>
      </c>
      <c r="H24" s="82">
        <v>632.54999999999995</v>
      </c>
      <c r="I24" s="82">
        <v>615.75</v>
      </c>
      <c r="J24" s="82">
        <v>712.35</v>
      </c>
      <c r="K24" s="82"/>
      <c r="L24" s="82"/>
      <c r="M24" s="82"/>
      <c r="N24" s="82"/>
    </row>
    <row r="25" spans="1:16">
      <c r="A25" s="69">
        <f>'WA Monthly'!A14</f>
        <v>8</v>
      </c>
      <c r="B25" s="26" t="s">
        <v>160</v>
      </c>
      <c r="C25" s="83">
        <f>SUM(C26:C34)</f>
        <v>137300.57999999999</v>
      </c>
      <c r="D25" s="83">
        <f t="shared" ref="D25:N25" si="1">SUM(D26:D34)</f>
        <v>160032.42000000001</v>
      </c>
      <c r="E25" s="83">
        <f t="shared" si="1"/>
        <v>130122.17</v>
      </c>
      <c r="F25" s="83">
        <f t="shared" si="1"/>
        <v>164292.48000000001</v>
      </c>
      <c r="G25" s="83">
        <f t="shared" si="1"/>
        <v>134891.76999999999</v>
      </c>
      <c r="H25" s="83">
        <f t="shared" si="1"/>
        <v>155758.5</v>
      </c>
      <c r="I25" s="83">
        <f t="shared" si="1"/>
        <v>115370.6</v>
      </c>
      <c r="J25" s="83">
        <f t="shared" si="1"/>
        <v>56687.56</v>
      </c>
      <c r="K25" s="83">
        <f t="shared" si="1"/>
        <v>0</v>
      </c>
      <c r="L25" s="83">
        <f t="shared" si="1"/>
        <v>0</v>
      </c>
      <c r="M25" s="83">
        <f t="shared" si="1"/>
        <v>0</v>
      </c>
      <c r="N25" s="83">
        <f t="shared" si="1"/>
        <v>0</v>
      </c>
      <c r="P25" s="28"/>
    </row>
    <row r="26" spans="1:16">
      <c r="A26" s="69"/>
      <c r="B26" s="107" t="s">
        <v>156</v>
      </c>
      <c r="C26" s="82">
        <v>45091.94</v>
      </c>
      <c r="D26" s="82">
        <v>67920.259999999995</v>
      </c>
      <c r="E26" s="82">
        <v>34371.32</v>
      </c>
      <c r="F26" s="82">
        <v>39655.11</v>
      </c>
      <c r="G26" s="82">
        <v>22920.15</v>
      </c>
      <c r="H26" s="82">
        <v>6604.13</v>
      </c>
      <c r="I26" s="82">
        <v>0</v>
      </c>
      <c r="J26" s="82">
        <v>0</v>
      </c>
      <c r="K26" s="82"/>
      <c r="L26" s="82"/>
      <c r="M26" s="82"/>
      <c r="N26" s="82"/>
    </row>
    <row r="27" spans="1:16">
      <c r="A27" s="69"/>
      <c r="B27" s="107" t="s">
        <v>157</v>
      </c>
      <c r="C27" s="82">
        <v>19969.13</v>
      </c>
      <c r="D27" s="82">
        <v>29435.3</v>
      </c>
      <c r="E27" s="82">
        <v>34590.26</v>
      </c>
      <c r="F27" s="82">
        <v>33560.660000000003</v>
      </c>
      <c r="G27" s="82">
        <v>16319.03</v>
      </c>
      <c r="H27" s="82">
        <v>38805.160000000003</v>
      </c>
      <c r="I27" s="82">
        <v>36045.370000000003</v>
      </c>
      <c r="J27" s="82">
        <v>15976.65</v>
      </c>
      <c r="K27" s="82"/>
      <c r="L27" s="82"/>
      <c r="M27" s="82"/>
      <c r="N27" s="82"/>
    </row>
    <row r="28" spans="1:16">
      <c r="A28" s="69"/>
      <c r="B28" s="107" t="s">
        <v>172</v>
      </c>
      <c r="C28" s="82">
        <v>0</v>
      </c>
      <c r="D28" s="82">
        <v>0</v>
      </c>
      <c r="E28" s="82">
        <v>0</v>
      </c>
      <c r="F28" s="82">
        <v>0</v>
      </c>
      <c r="G28" s="82">
        <v>492.56</v>
      </c>
      <c r="H28" s="82">
        <v>196.8</v>
      </c>
      <c r="I28" s="82">
        <v>0</v>
      </c>
      <c r="J28" s="82">
        <v>0</v>
      </c>
      <c r="K28" s="82"/>
      <c r="L28" s="82"/>
      <c r="M28" s="82"/>
      <c r="N28" s="82"/>
    </row>
    <row r="29" spans="1:16">
      <c r="A29" s="69"/>
      <c r="B29" s="107" t="s">
        <v>158</v>
      </c>
      <c r="C29" s="82">
        <v>18757.740000000002</v>
      </c>
      <c r="D29" s="82">
        <v>16042.72</v>
      </c>
      <c r="E29" s="82">
        <v>10386.41</v>
      </c>
      <c r="F29" s="82">
        <v>13493.53</v>
      </c>
      <c r="G29" s="82">
        <v>14316.55</v>
      </c>
      <c r="H29" s="82">
        <v>10954.78</v>
      </c>
      <c r="I29" s="82">
        <v>16951.59</v>
      </c>
      <c r="J29" s="82">
        <v>4320.8100000000004</v>
      </c>
      <c r="K29" s="82"/>
      <c r="L29" s="82"/>
      <c r="M29" s="82"/>
      <c r="N29" s="82"/>
    </row>
    <row r="30" spans="1:16">
      <c r="A30" s="69"/>
      <c r="B30" s="205" t="s">
        <v>175</v>
      </c>
      <c r="C30" s="82">
        <v>372.4</v>
      </c>
      <c r="D30" s="82">
        <v>442.15</v>
      </c>
      <c r="E30" s="82">
        <v>266.92</v>
      </c>
      <c r="F30" s="82">
        <v>1468.03</v>
      </c>
      <c r="G30" s="82">
        <v>2118.46</v>
      </c>
      <c r="H30" s="82">
        <f>9669.65+22909.7</f>
        <v>32579.35</v>
      </c>
      <c r="I30" s="82">
        <v>5097.67</v>
      </c>
      <c r="J30" s="82">
        <v>2798.21</v>
      </c>
      <c r="K30" s="82"/>
      <c r="L30" s="82"/>
      <c r="M30" s="82"/>
      <c r="N30" s="82"/>
    </row>
    <row r="31" spans="1:16">
      <c r="A31" s="69"/>
      <c r="B31" s="205" t="s">
        <v>176</v>
      </c>
      <c r="C31" s="82">
        <v>44025.8</v>
      </c>
      <c r="D31" s="82">
        <v>39863.53</v>
      </c>
      <c r="E31" s="82">
        <v>42093.26</v>
      </c>
      <c r="F31" s="82">
        <v>51051.61</v>
      </c>
      <c r="G31" s="82">
        <v>52272.78</v>
      </c>
      <c r="H31" s="82">
        <v>38457.279999999999</v>
      </c>
      <c r="I31" s="82">
        <v>31026.97</v>
      </c>
      <c r="J31" s="82">
        <v>19939.18</v>
      </c>
      <c r="K31" s="82"/>
      <c r="L31" s="82"/>
      <c r="M31" s="82"/>
      <c r="N31" s="82"/>
    </row>
    <row r="32" spans="1:16">
      <c r="A32" s="69"/>
      <c r="B32" s="107" t="s">
        <v>159</v>
      </c>
      <c r="C32" s="82">
        <v>7249.71</v>
      </c>
      <c r="D32" s="82">
        <v>4923.28</v>
      </c>
      <c r="E32" s="82">
        <v>3706.13</v>
      </c>
      <c r="F32" s="82">
        <v>4163.99</v>
      </c>
      <c r="G32" s="82">
        <v>3820.6</v>
      </c>
      <c r="H32" s="82">
        <v>3820.6</v>
      </c>
      <c r="I32" s="82">
        <v>4748.3</v>
      </c>
      <c r="J32" s="82">
        <v>4513.67</v>
      </c>
      <c r="K32" s="82"/>
      <c r="L32" s="82"/>
      <c r="M32" s="82"/>
      <c r="N32" s="82"/>
    </row>
    <row r="33" spans="1:14">
      <c r="A33" s="69"/>
      <c r="B33" s="205" t="s">
        <v>189</v>
      </c>
      <c r="C33" s="82">
        <f>2442.12-452.88-694.24</f>
        <v>1295</v>
      </c>
      <c r="D33" s="82">
        <f>2546.04-1144.84</f>
        <v>1401.2</v>
      </c>
      <c r="E33" s="82">
        <f>4849.2-141.33</f>
        <v>4707.87</v>
      </c>
      <c r="F33" s="82">
        <f>20972.79-753.83</f>
        <v>20218.96</v>
      </c>
      <c r="G33" s="82">
        <f>20326.23-433.97</f>
        <v>19892.259999999998</v>
      </c>
      <c r="H33" s="82">
        <f>22548.78+535.62</f>
        <v>23084.400000000001</v>
      </c>
      <c r="I33" s="82">
        <f>21563.4-396.75</f>
        <v>21166.65</v>
      </c>
      <c r="J33" s="82">
        <f>9612.6-473.56</f>
        <v>9139.0400000000009</v>
      </c>
      <c r="K33" s="82"/>
      <c r="L33" s="82"/>
      <c r="M33" s="82"/>
      <c r="N33" s="82"/>
    </row>
    <row r="34" spans="1:14">
      <c r="A34" s="69"/>
      <c r="B34" s="205" t="s">
        <v>177</v>
      </c>
      <c r="C34" s="82">
        <v>538.86</v>
      </c>
      <c r="D34" s="82">
        <v>3.98</v>
      </c>
      <c r="E34" s="82">
        <v>0</v>
      </c>
      <c r="F34" s="82">
        <v>680.59</v>
      </c>
      <c r="G34" s="82">
        <v>2739.38</v>
      </c>
      <c r="H34" s="82">
        <v>1256</v>
      </c>
      <c r="I34" s="82">
        <v>334.05</v>
      </c>
      <c r="J34" s="82">
        <v>0</v>
      </c>
      <c r="K34" s="82"/>
      <c r="L34" s="82"/>
      <c r="M34" s="82"/>
      <c r="N34" s="82"/>
    </row>
    <row r="35" spans="1:14">
      <c r="A35" s="69">
        <f>'WA Monthly'!A15</f>
        <v>9</v>
      </c>
      <c r="B35" s="87" t="s">
        <v>178</v>
      </c>
      <c r="C35" s="82">
        <v>175035.12</v>
      </c>
      <c r="D35" s="82">
        <v>112638.76</v>
      </c>
      <c r="E35" s="82">
        <v>116166.06</v>
      </c>
      <c r="F35" s="82">
        <v>88987.12</v>
      </c>
      <c r="G35" s="82">
        <v>158545.45000000001</v>
      </c>
      <c r="H35" s="82">
        <v>160694.01999999999</v>
      </c>
      <c r="I35" s="82">
        <v>223005.45</v>
      </c>
      <c r="J35" s="82">
        <v>204294.92</v>
      </c>
      <c r="K35" s="82"/>
      <c r="L35" s="82"/>
      <c r="M35" s="82"/>
      <c r="N35" s="82"/>
    </row>
    <row r="36" spans="1:14">
      <c r="A36" s="69">
        <f>'WA Monthly'!A16</f>
        <v>10</v>
      </c>
      <c r="B36" s="3" t="s">
        <v>162</v>
      </c>
      <c r="C36" s="82">
        <v>278635.32</v>
      </c>
      <c r="D36" s="82">
        <v>269106.84000000003</v>
      </c>
      <c r="E36" s="82">
        <v>250887.28</v>
      </c>
      <c r="F36" s="82">
        <v>301773.88</v>
      </c>
      <c r="G36" s="82">
        <v>332524.64</v>
      </c>
      <c r="H36" s="82">
        <v>204947.84</v>
      </c>
      <c r="I36" s="82">
        <v>14117.72</v>
      </c>
      <c r="J36" s="82">
        <v>2645.82</v>
      </c>
      <c r="K36" s="82"/>
      <c r="L36" s="82"/>
      <c r="M36" s="82"/>
      <c r="N36" s="82"/>
    </row>
    <row r="37" spans="1:14">
      <c r="A37" s="69">
        <f>'WA Monthly'!A17</f>
        <v>11</v>
      </c>
      <c r="B37" s="87" t="s">
        <v>179</v>
      </c>
      <c r="C37" s="82">
        <v>584639.31000000006</v>
      </c>
      <c r="D37" s="82">
        <v>427257.45</v>
      </c>
      <c r="E37" s="82">
        <v>466708.23</v>
      </c>
      <c r="F37" s="82">
        <v>424403.25</v>
      </c>
      <c r="G37" s="82">
        <v>265005.51</v>
      </c>
      <c r="H37" s="82">
        <v>390567</v>
      </c>
      <c r="I37" s="82">
        <v>482286.42</v>
      </c>
      <c r="J37" s="82">
        <v>464241.69</v>
      </c>
      <c r="K37" s="82"/>
      <c r="L37" s="82"/>
      <c r="M37" s="82"/>
      <c r="N37" s="82"/>
    </row>
    <row r="38" spans="1:14">
      <c r="A38" s="69">
        <f>'WA Monthly'!A18</f>
        <v>12</v>
      </c>
      <c r="B38" s="87" t="s">
        <v>180</v>
      </c>
      <c r="C38" s="82">
        <v>1297.3</v>
      </c>
      <c r="D38" s="82">
        <v>1363.61</v>
      </c>
      <c r="E38" s="82">
        <v>1396.76</v>
      </c>
      <c r="F38" s="82">
        <v>1286.24</v>
      </c>
      <c r="G38" s="82">
        <v>954.68</v>
      </c>
      <c r="H38" s="82">
        <v>1186.78</v>
      </c>
      <c r="I38" s="82">
        <v>1002.58</v>
      </c>
      <c r="J38" s="82">
        <v>954.68</v>
      </c>
      <c r="K38" s="82"/>
      <c r="L38" s="82"/>
      <c r="M38" s="82"/>
      <c r="N38" s="82"/>
    </row>
    <row r="39" spans="1:14">
      <c r="A39" s="69">
        <f>'WA Monthly'!A19</f>
        <v>13</v>
      </c>
      <c r="B39" s="3" t="s">
        <v>105</v>
      </c>
      <c r="C39" s="82">
        <f>2414811.67+93.16+19446.61</f>
        <v>2434351.44</v>
      </c>
      <c r="D39" s="82">
        <f>2357486.54-12259.47-4643.15+6671.89</f>
        <v>2347255.81</v>
      </c>
      <c r="E39" s="82">
        <f>2401802.33+9989.73-8425.15-4266.51+34614.17</f>
        <v>2433714.5699999998</v>
      </c>
      <c r="F39" s="82">
        <f>2238861-12092.85-18612.63+20687.51+10833.95+7665.66+10760.33+7083.8+10686.6+7675.59</f>
        <v>2283548.96</v>
      </c>
      <c r="G39" s="82">
        <f>2136677.24+0.1+100.51+24737.39</f>
        <v>2161515.2400000002</v>
      </c>
      <c r="H39" s="82">
        <f>2082486.94+73.32+18182.77</f>
        <v>2100743.0299999998</v>
      </c>
      <c r="I39" s="82">
        <f>2349575.43+55.06+12384.74</f>
        <v>2362015.23</v>
      </c>
      <c r="J39" s="82">
        <f>2365513.25+123.04+47089.69</f>
        <v>2412725.98</v>
      </c>
      <c r="K39" s="82"/>
      <c r="L39" s="88"/>
      <c r="M39" s="82"/>
      <c r="N39" s="82"/>
    </row>
    <row r="40" spans="1:14">
      <c r="A40" s="69">
        <f>'WA Monthly'!A20</f>
        <v>14</v>
      </c>
      <c r="B40" s="3" t="s">
        <v>116</v>
      </c>
      <c r="C40" s="82">
        <v>1921037.05</v>
      </c>
      <c r="D40" s="82">
        <v>1708935.75</v>
      </c>
      <c r="E40" s="82">
        <v>1266883.6499999999</v>
      </c>
      <c r="F40" s="82">
        <v>2031088.45</v>
      </c>
      <c r="G40" s="82">
        <v>1632367.55</v>
      </c>
      <c r="H40" s="82">
        <v>1626458.75</v>
      </c>
      <c r="I40" s="82">
        <v>1146307.2</v>
      </c>
      <c r="J40" s="82">
        <v>960549.3</v>
      </c>
      <c r="K40" s="82"/>
      <c r="L40" s="82"/>
      <c r="M40" s="82"/>
      <c r="N40" s="82"/>
    </row>
    <row r="41" spans="1:14">
      <c r="A41" s="69"/>
      <c r="B41" s="3"/>
      <c r="C41" s="82"/>
      <c r="D41" s="82"/>
      <c r="E41" s="82"/>
      <c r="F41" s="82"/>
      <c r="G41" s="82"/>
      <c r="H41" s="82"/>
      <c r="I41" s="82"/>
      <c r="J41" s="82"/>
      <c r="K41" s="82"/>
      <c r="L41" s="82"/>
      <c r="M41" s="82"/>
      <c r="N41" s="82"/>
    </row>
    <row r="42" spans="1:14">
      <c r="A42" s="69"/>
      <c r="B42" s="80" t="s">
        <v>48</v>
      </c>
      <c r="C42" s="206">
        <f>60320*(46.15-45.61)</f>
        <v>32572.799999999999</v>
      </c>
      <c r="D42" s="206">
        <f>54505*(46.15-45.61)</f>
        <v>29432.7</v>
      </c>
      <c r="E42" s="206">
        <f>29780*(46.15-45.61)</f>
        <v>16081.2</v>
      </c>
      <c r="F42" s="206">
        <f>28842*(46.15-45.61)</f>
        <v>15574.68</v>
      </c>
      <c r="G42" s="83"/>
      <c r="H42" s="83"/>
      <c r="I42" s="83"/>
      <c r="J42" s="83"/>
      <c r="K42" s="83"/>
      <c r="L42" s="83"/>
      <c r="M42" s="206"/>
      <c r="N42" s="206"/>
    </row>
    <row r="43" spans="1:14">
      <c r="C43" s="82"/>
      <c r="D43" s="82"/>
      <c r="E43" s="82"/>
      <c r="F43" s="82"/>
      <c r="G43" s="82"/>
      <c r="H43" s="82"/>
      <c r="I43" s="82"/>
      <c r="J43" s="82"/>
      <c r="K43" s="82"/>
      <c r="L43" s="82"/>
      <c r="M43" s="82"/>
      <c r="N43" s="82"/>
    </row>
    <row r="44" spans="1:14">
      <c r="B44" s="53" t="s">
        <v>21</v>
      </c>
      <c r="C44" s="82"/>
      <c r="D44" s="82"/>
      <c r="E44" s="82"/>
      <c r="F44" s="82"/>
      <c r="G44" s="82"/>
      <c r="H44" s="82"/>
      <c r="I44" s="82"/>
      <c r="J44" s="82"/>
      <c r="K44" s="82"/>
      <c r="L44" s="82"/>
      <c r="M44" s="82"/>
      <c r="N44" s="82"/>
    </row>
    <row r="45" spans="1:14">
      <c r="A45" s="69">
        <f>'WA Monthly'!A42</f>
        <v>19</v>
      </c>
      <c r="B45" s="4" t="s">
        <v>27</v>
      </c>
      <c r="C45" s="82">
        <v>-120723.96</v>
      </c>
      <c r="D45" s="82">
        <v>-304136.7</v>
      </c>
      <c r="E45" s="82">
        <v>-375124.63</v>
      </c>
      <c r="F45" s="82">
        <v>-60162.06</v>
      </c>
      <c r="G45" s="82">
        <v>-45192.84</v>
      </c>
      <c r="H45" s="82">
        <v>-61644.24</v>
      </c>
      <c r="I45" s="82">
        <v>-104421.66</v>
      </c>
      <c r="J45" s="82">
        <v>-139139.1</v>
      </c>
      <c r="K45" s="82"/>
      <c r="L45" s="82"/>
      <c r="M45" s="82"/>
      <c r="N45" s="82"/>
    </row>
    <row r="46" spans="1:14">
      <c r="A46" s="69">
        <f>'WA Monthly'!A43</f>
        <v>20</v>
      </c>
      <c r="B46" s="3" t="s">
        <v>165</v>
      </c>
      <c r="C46" s="82">
        <f>-SUM(5766+3032.44+3032.44+972.75)</f>
        <v>-12803.63</v>
      </c>
      <c r="D46" s="85">
        <f>-SUM(907.75+5208+2752.09+2752.09)</f>
        <v>-11619.93</v>
      </c>
      <c r="E46" s="82">
        <f>-SUM(5758.25+2999.03+2999.03+906.25)</f>
        <v>-12662.56</v>
      </c>
      <c r="F46" s="82">
        <f>-SUM(5580+2942.55+2942.55+959)</f>
        <v>-12424.1</v>
      </c>
      <c r="G46" s="82">
        <f>-SUM(593+5766+2861.55+2861.55)</f>
        <v>-12082.1</v>
      </c>
      <c r="H46" s="82">
        <f>-SUM(774+5580+2859.3+2859.3)</f>
        <v>-12072.6</v>
      </c>
      <c r="I46" s="82">
        <f>-SUM(795.75+5766+2952.79+2952.79)</f>
        <v>-12467.33</v>
      </c>
      <c r="J46" s="82">
        <f>-SUM(901.25+5766+3000.26+3000.26)</f>
        <v>-12667.77</v>
      </c>
      <c r="K46" s="82"/>
      <c r="L46" s="82"/>
      <c r="M46" s="82"/>
      <c r="N46" s="82"/>
    </row>
    <row r="47" spans="1:14">
      <c r="A47" s="69">
        <f>'WA Monthly'!A44</f>
        <v>21</v>
      </c>
      <c r="B47" s="4" t="s">
        <v>31</v>
      </c>
      <c r="C47" s="82">
        <f>-SUM(11057.96+11057.96+27522.04+4128.64+4128.64+5580)</f>
        <v>-63475.24</v>
      </c>
      <c r="D47" s="85">
        <f>-SUM(10434.26+10434.26+25969.72+3299.06+3299.06+5040)</f>
        <v>-58476.36</v>
      </c>
      <c r="E47" s="82">
        <f>-SUM(10335.83+10335.83+25724.72+3222.79+3222.79+5572.5)</f>
        <v>-58414.46</v>
      </c>
      <c r="F47" s="82">
        <f>-SUM(7607.48+7607.48+18934.16+5477.74+5477.74+5400)</f>
        <v>-50504.6</v>
      </c>
      <c r="G47" s="82">
        <f>-SUM(8345.48+8345.48+20770.96+5550.98+5550.98+5580)</f>
        <v>-54143.88</v>
      </c>
      <c r="H47" s="82">
        <f>-SUM(8225.33+8225.33+20471.92+6066.79+6066.79+5400)</f>
        <v>-54456.160000000003</v>
      </c>
      <c r="I47" s="82">
        <f>-SUM(8588.14+8588.14+21374.92+4424.74+4424.74+5580)</f>
        <v>-52980.68</v>
      </c>
      <c r="J47" s="82">
        <f>-SUM(8542.58+8542.58+21261.52+2582.89+2582.89+5580)</f>
        <v>-49092.46</v>
      </c>
      <c r="K47" s="82"/>
      <c r="L47" s="82"/>
      <c r="M47" s="82"/>
      <c r="N47" s="82"/>
    </row>
    <row r="48" spans="1:14">
      <c r="A48" s="69"/>
      <c r="C48" s="82"/>
      <c r="D48" s="82"/>
      <c r="E48" s="82"/>
      <c r="F48" s="82"/>
      <c r="G48" s="82"/>
      <c r="H48" s="82"/>
      <c r="I48" s="82"/>
      <c r="J48" s="82"/>
      <c r="K48" s="82"/>
      <c r="L48" s="82"/>
      <c r="M48" s="82"/>
      <c r="N48" s="82"/>
    </row>
    <row r="49" spans="1:14">
      <c r="A49" s="69"/>
      <c r="B49" s="53" t="s">
        <v>23</v>
      </c>
      <c r="C49" s="82"/>
      <c r="D49" s="82"/>
      <c r="E49" s="82"/>
      <c r="F49" s="82"/>
      <c r="G49" s="82"/>
      <c r="H49" s="82"/>
      <c r="I49" s="82"/>
      <c r="J49" s="82"/>
      <c r="K49" s="82"/>
      <c r="L49" s="82"/>
      <c r="M49" s="82"/>
      <c r="N49" s="82"/>
    </row>
    <row r="50" spans="1:14">
      <c r="A50" s="69">
        <f>'WA Monthly'!A67</f>
        <v>29</v>
      </c>
      <c r="B50" s="4" t="s">
        <v>16</v>
      </c>
      <c r="C50" s="142">
        <v>55618</v>
      </c>
      <c r="D50" s="142">
        <v>49341</v>
      </c>
      <c r="E50" s="142">
        <v>52895</v>
      </c>
      <c r="F50" s="142">
        <v>0</v>
      </c>
      <c r="G50" s="142">
        <v>0</v>
      </c>
      <c r="H50" s="142">
        <v>22799</v>
      </c>
      <c r="I50" s="142">
        <v>54446</v>
      </c>
      <c r="J50" s="142">
        <v>53493</v>
      </c>
      <c r="K50" s="142"/>
      <c r="L50" s="142"/>
      <c r="M50" s="142"/>
      <c r="N50" s="142"/>
    </row>
    <row r="51" spans="1:14">
      <c r="A51" s="69">
        <f>'WA Monthly'!A68</f>
        <v>30</v>
      </c>
      <c r="B51" s="4" t="s">
        <v>25</v>
      </c>
      <c r="C51" s="142">
        <v>94382</v>
      </c>
      <c r="D51" s="142">
        <v>84400</v>
      </c>
      <c r="E51" s="142">
        <v>99623</v>
      </c>
      <c r="F51" s="142">
        <v>69067</v>
      </c>
      <c r="G51" s="142">
        <v>42755</v>
      </c>
      <c r="H51" s="142">
        <v>66682</v>
      </c>
      <c r="I51" s="142">
        <v>79898</v>
      </c>
      <c r="J51" s="142">
        <v>98708</v>
      </c>
      <c r="K51" s="142"/>
      <c r="L51" s="142"/>
      <c r="M51" s="142"/>
      <c r="N51" s="142"/>
    </row>
    <row r="52" spans="1:14">
      <c r="C52" s="82"/>
      <c r="D52" s="82"/>
      <c r="E52" s="82"/>
      <c r="F52" s="82"/>
      <c r="G52" s="82"/>
      <c r="H52" s="82"/>
      <c r="I52" s="82"/>
      <c r="J52" s="82"/>
      <c r="K52" s="82"/>
      <c r="L52" s="82"/>
      <c r="M52" s="82"/>
      <c r="N52" s="82"/>
    </row>
    <row r="53" spans="1:14">
      <c r="A53" s="26" t="s">
        <v>167</v>
      </c>
      <c r="C53" s="82"/>
      <c r="D53" s="82"/>
      <c r="E53" s="82"/>
      <c r="F53" s="82"/>
      <c r="G53" s="82"/>
      <c r="H53" s="82"/>
      <c r="I53" s="82"/>
      <c r="J53" s="82"/>
      <c r="K53" s="82"/>
      <c r="L53" s="82"/>
      <c r="M53" s="82"/>
      <c r="N53" s="82"/>
    </row>
    <row r="54" spans="1:14">
      <c r="A54" s="69">
        <v>8</v>
      </c>
      <c r="B54" s="117" t="s">
        <v>163</v>
      </c>
      <c r="C54" s="142">
        <f>547354540/1000</f>
        <v>547355</v>
      </c>
      <c r="D54" s="142">
        <f>516536325/1000</f>
        <v>516536</v>
      </c>
      <c r="E54" s="142">
        <f>544642265/1000</f>
        <v>544642</v>
      </c>
      <c r="F54" s="142">
        <f>444134378/1000</f>
        <v>444134</v>
      </c>
      <c r="G54" s="142">
        <f>407170729/1000</f>
        <v>407171</v>
      </c>
      <c r="H54" s="142">
        <f>418743394/1000</f>
        <v>418743</v>
      </c>
      <c r="I54" s="142">
        <f>447379893/1000</f>
        <v>447380</v>
      </c>
      <c r="J54" s="142">
        <f>475019789/1000</f>
        <v>475020</v>
      </c>
      <c r="K54" s="142"/>
      <c r="L54" s="142"/>
      <c r="M54" s="142"/>
      <c r="N54" s="142"/>
    </row>
    <row r="55" spans="1:14">
      <c r="A55" s="69">
        <v>10</v>
      </c>
      <c r="B55" s="117" t="s">
        <v>164</v>
      </c>
      <c r="C55" s="142">
        <f>304564103/1000</f>
        <v>304564</v>
      </c>
      <c r="D55" s="142">
        <f>295588877/1000</f>
        <v>295589</v>
      </c>
      <c r="E55" s="142">
        <f>262440569/1000</f>
        <v>262441</v>
      </c>
      <c r="F55" s="142">
        <f>226759106/1000</f>
        <v>226759</v>
      </c>
      <c r="G55" s="142">
        <f>245868144/1000</f>
        <v>245868</v>
      </c>
      <c r="H55" s="142">
        <f>256647990/1000</f>
        <v>256648</v>
      </c>
      <c r="I55" s="142">
        <f>283504589/1000</f>
        <v>283505</v>
      </c>
      <c r="J55" s="142">
        <f>293508927/1000</f>
        <v>293509</v>
      </c>
      <c r="K55" s="142"/>
      <c r="L55" s="142"/>
      <c r="M55" s="142"/>
      <c r="N55" s="142"/>
    </row>
    <row r="56" spans="1:14">
      <c r="A56" s="69">
        <v>12</v>
      </c>
      <c r="B56" s="117" t="s">
        <v>132</v>
      </c>
      <c r="C56" s="207">
        <v>556117</v>
      </c>
      <c r="D56" s="207">
        <v>486363</v>
      </c>
      <c r="E56" s="207">
        <v>477535</v>
      </c>
      <c r="F56" s="207">
        <v>431246</v>
      </c>
      <c r="G56" s="207">
        <v>432473</v>
      </c>
      <c r="H56" s="207">
        <v>424693</v>
      </c>
      <c r="I56" s="207">
        <v>490670</v>
      </c>
      <c r="J56" s="207">
        <v>464617</v>
      </c>
      <c r="K56" s="207">
        <v>435934</v>
      </c>
      <c r="L56" s="207">
        <v>436959</v>
      </c>
      <c r="M56" s="207">
        <v>468856</v>
      </c>
      <c r="N56" s="207">
        <v>553150</v>
      </c>
    </row>
    <row r="57" spans="1:14">
      <c r="A57" s="69">
        <v>14</v>
      </c>
      <c r="B57" s="117" t="s">
        <v>133</v>
      </c>
      <c r="C57" s="208">
        <v>18.11</v>
      </c>
      <c r="D57" s="208">
        <v>18.11</v>
      </c>
      <c r="E57" s="208">
        <v>18.11</v>
      </c>
      <c r="F57" s="208">
        <v>18.11</v>
      </c>
      <c r="G57" s="208">
        <v>18.11</v>
      </c>
      <c r="H57" s="208">
        <v>18.11</v>
      </c>
      <c r="I57" s="208">
        <v>18.11</v>
      </c>
      <c r="J57" s="208">
        <v>18.11</v>
      </c>
      <c r="K57" s="208">
        <v>18.11</v>
      </c>
      <c r="L57" s="208">
        <v>18.11</v>
      </c>
      <c r="M57" s="208">
        <v>18.11</v>
      </c>
      <c r="N57" s="208">
        <v>18.11</v>
      </c>
    </row>
    <row r="58" spans="1:14">
      <c r="A58" s="69"/>
      <c r="B58" s="117"/>
      <c r="C58" s="83"/>
      <c r="D58" s="83"/>
      <c r="E58" s="83"/>
      <c r="F58" s="83"/>
      <c r="G58" s="83"/>
      <c r="H58" s="83"/>
      <c r="I58" s="83"/>
      <c r="J58" s="83"/>
      <c r="K58" s="83"/>
      <c r="L58" s="83"/>
      <c r="M58" s="83"/>
      <c r="N58" s="83"/>
    </row>
    <row r="59" spans="1:14">
      <c r="A59" s="69"/>
      <c r="B59" s="117"/>
      <c r="C59" s="83"/>
      <c r="D59" s="83"/>
      <c r="E59" s="83"/>
      <c r="F59" s="83"/>
      <c r="G59" s="83"/>
      <c r="H59" s="83"/>
      <c r="I59" s="83"/>
      <c r="J59" s="83"/>
      <c r="K59" s="83"/>
      <c r="L59" s="83"/>
      <c r="M59" s="83"/>
      <c r="N59" s="83"/>
    </row>
    <row r="60" spans="1:14">
      <c r="C60" s="82"/>
      <c r="D60" s="82"/>
      <c r="E60" s="82"/>
      <c r="F60" s="82"/>
      <c r="G60" s="82"/>
      <c r="H60" s="82"/>
      <c r="I60" s="82"/>
      <c r="J60" s="82"/>
      <c r="K60" s="82"/>
      <c r="L60" s="82"/>
      <c r="M60" s="82"/>
      <c r="N60" s="82"/>
    </row>
    <row r="61" spans="1:14">
      <c r="C61" s="82"/>
      <c r="D61" s="82"/>
      <c r="E61" s="82"/>
      <c r="F61" s="82"/>
      <c r="G61" s="82"/>
      <c r="H61" s="82"/>
      <c r="I61" s="82"/>
      <c r="J61" s="82"/>
      <c r="K61" s="82"/>
      <c r="L61" s="82"/>
      <c r="M61" s="82"/>
      <c r="N61" s="82"/>
    </row>
    <row r="62" spans="1:14">
      <c r="C62" s="82"/>
      <c r="D62" s="82"/>
      <c r="E62" s="82"/>
      <c r="F62" s="82"/>
      <c r="G62" s="82"/>
      <c r="H62" s="82"/>
      <c r="I62" s="82"/>
      <c r="J62" s="82"/>
      <c r="K62" s="82"/>
      <c r="L62" s="82"/>
      <c r="M62" s="82"/>
      <c r="N62" s="82"/>
    </row>
    <row r="63" spans="1:14">
      <c r="C63" s="82"/>
      <c r="D63" s="82"/>
      <c r="E63" s="82"/>
      <c r="F63" s="82"/>
      <c r="G63" s="82"/>
      <c r="H63" s="82"/>
      <c r="I63" s="82"/>
      <c r="J63" s="82"/>
      <c r="K63" s="82"/>
      <c r="L63" s="82"/>
      <c r="M63" s="82"/>
      <c r="N63" s="82"/>
    </row>
    <row r="64" spans="1:14">
      <c r="C64" s="82"/>
      <c r="D64" s="82"/>
      <c r="E64" s="82"/>
      <c r="F64" s="82"/>
      <c r="G64" s="82"/>
      <c r="H64" s="82"/>
      <c r="I64" s="82"/>
      <c r="J64" s="82"/>
      <c r="K64" s="82"/>
      <c r="L64" s="82"/>
      <c r="M64" s="82"/>
      <c r="N64" s="82"/>
    </row>
    <row r="65" spans="3:14">
      <c r="C65" s="82"/>
      <c r="D65" s="82"/>
      <c r="E65" s="82"/>
      <c r="F65" s="82"/>
      <c r="G65" s="82"/>
      <c r="H65" s="82"/>
      <c r="I65" s="82"/>
      <c r="J65" s="82"/>
      <c r="K65" s="82"/>
      <c r="L65" s="82"/>
      <c r="M65" s="82"/>
      <c r="N65" s="82"/>
    </row>
    <row r="66" spans="3:14">
      <c r="C66" s="82"/>
      <c r="D66" s="82"/>
      <c r="E66" s="82"/>
      <c r="F66" s="82"/>
      <c r="G66" s="82"/>
      <c r="H66" s="82"/>
      <c r="I66" s="82"/>
      <c r="J66" s="82"/>
      <c r="K66" s="82"/>
      <c r="L66" s="82"/>
      <c r="M66" s="82"/>
      <c r="N66" s="82"/>
    </row>
    <row r="67" spans="3:14">
      <c r="C67" s="82"/>
      <c r="D67" s="82"/>
      <c r="E67" s="82"/>
      <c r="F67" s="82"/>
      <c r="G67" s="82"/>
      <c r="H67" s="82"/>
      <c r="I67" s="82"/>
      <c r="J67" s="82"/>
      <c r="K67" s="82"/>
      <c r="L67" s="82"/>
      <c r="M67" s="82"/>
      <c r="N67" s="82"/>
    </row>
    <row r="68" spans="3:14">
      <c r="C68" s="82"/>
      <c r="D68" s="82"/>
      <c r="E68" s="82"/>
      <c r="F68" s="82"/>
      <c r="G68" s="82"/>
      <c r="H68" s="82"/>
      <c r="I68" s="82"/>
      <c r="J68" s="82"/>
      <c r="K68" s="82"/>
      <c r="L68" s="82"/>
      <c r="M68" s="82"/>
      <c r="N68" s="82"/>
    </row>
    <row r="69" spans="3:14">
      <c r="C69" s="82"/>
      <c r="D69" s="82"/>
      <c r="E69" s="82"/>
      <c r="F69" s="82"/>
      <c r="G69" s="82"/>
      <c r="H69" s="82"/>
      <c r="I69" s="82"/>
      <c r="J69" s="82"/>
      <c r="K69" s="82"/>
      <c r="L69" s="82"/>
      <c r="M69" s="82"/>
      <c r="N69" s="82"/>
    </row>
    <row r="70" spans="3:14">
      <c r="C70" s="82"/>
      <c r="D70" s="82"/>
      <c r="E70" s="82"/>
      <c r="F70" s="82"/>
      <c r="G70" s="82"/>
      <c r="H70" s="82"/>
      <c r="I70" s="82"/>
      <c r="J70" s="82"/>
      <c r="K70" s="82"/>
      <c r="L70" s="82"/>
      <c r="M70" s="82"/>
      <c r="N70" s="82"/>
    </row>
    <row r="71" spans="3:14">
      <c r="C71" s="82"/>
      <c r="D71" s="82"/>
      <c r="E71" s="82"/>
      <c r="F71" s="82"/>
      <c r="G71" s="82"/>
      <c r="H71" s="82"/>
      <c r="I71" s="82"/>
      <c r="J71" s="82"/>
      <c r="K71" s="82"/>
      <c r="L71" s="82"/>
      <c r="M71" s="82"/>
      <c r="N71" s="82"/>
    </row>
    <row r="72" spans="3:14">
      <c r="C72" s="82"/>
      <c r="D72" s="82"/>
      <c r="E72" s="82"/>
      <c r="F72" s="82"/>
      <c r="G72" s="82"/>
      <c r="H72" s="82"/>
      <c r="I72" s="82"/>
      <c r="J72" s="82"/>
      <c r="K72" s="82"/>
      <c r="L72" s="82"/>
      <c r="M72" s="82"/>
      <c r="N72" s="82"/>
    </row>
    <row r="73" spans="3:14">
      <c r="C73" s="82"/>
      <c r="D73" s="82"/>
      <c r="E73" s="82"/>
      <c r="F73" s="82"/>
      <c r="G73" s="82"/>
      <c r="H73" s="82"/>
      <c r="I73" s="82"/>
      <c r="J73" s="82"/>
      <c r="K73" s="82"/>
      <c r="L73" s="82"/>
      <c r="M73" s="82"/>
      <c r="N73" s="82"/>
    </row>
    <row r="74" spans="3:14">
      <c r="C74" s="82"/>
      <c r="D74" s="82"/>
      <c r="E74" s="82"/>
      <c r="F74" s="82"/>
      <c r="G74" s="82"/>
      <c r="H74" s="82"/>
      <c r="I74" s="82"/>
      <c r="J74" s="82"/>
      <c r="K74" s="82"/>
      <c r="L74" s="82"/>
      <c r="M74" s="82"/>
      <c r="N74" s="82"/>
    </row>
    <row r="75" spans="3:14">
      <c r="C75" s="82"/>
      <c r="D75" s="82"/>
      <c r="E75" s="82"/>
      <c r="F75" s="82"/>
      <c r="G75" s="82"/>
      <c r="H75" s="82"/>
      <c r="I75" s="82"/>
      <c r="J75" s="82"/>
      <c r="K75" s="82"/>
      <c r="L75" s="82"/>
      <c r="M75" s="82"/>
      <c r="N75" s="82"/>
    </row>
    <row r="76" spans="3:14">
      <c r="C76" s="82"/>
      <c r="D76" s="82"/>
      <c r="E76" s="82"/>
      <c r="F76" s="82"/>
      <c r="G76" s="82"/>
      <c r="H76" s="82"/>
      <c r="I76" s="82"/>
      <c r="J76" s="82"/>
      <c r="K76" s="82"/>
      <c r="L76" s="82"/>
      <c r="M76" s="82"/>
      <c r="N76" s="82"/>
    </row>
    <row r="77" spans="3:14">
      <c r="C77" s="82"/>
      <c r="D77" s="82"/>
      <c r="E77" s="82"/>
      <c r="F77" s="82"/>
      <c r="G77" s="82"/>
      <c r="H77" s="82"/>
      <c r="I77" s="82"/>
      <c r="J77" s="82"/>
      <c r="K77" s="82"/>
      <c r="L77" s="82"/>
      <c r="M77" s="82"/>
      <c r="N77" s="82"/>
    </row>
    <row r="78" spans="3:14">
      <c r="C78" s="82"/>
      <c r="D78" s="82"/>
      <c r="E78" s="82"/>
      <c r="F78" s="82"/>
      <c r="G78" s="82"/>
      <c r="H78" s="82"/>
      <c r="I78" s="82"/>
      <c r="J78" s="82"/>
      <c r="K78" s="82"/>
      <c r="L78" s="82"/>
      <c r="M78" s="82"/>
      <c r="N78" s="82"/>
    </row>
    <row r="79" spans="3:14">
      <c r="C79" s="82"/>
      <c r="D79" s="82"/>
      <c r="E79" s="82"/>
      <c r="F79" s="82"/>
      <c r="G79" s="82"/>
      <c r="H79" s="82"/>
      <c r="I79" s="82"/>
      <c r="J79" s="82"/>
      <c r="K79" s="82"/>
      <c r="L79" s="82"/>
      <c r="M79" s="82"/>
      <c r="N79" s="82"/>
    </row>
    <row r="80" spans="3:14">
      <c r="C80" s="82"/>
      <c r="D80" s="82"/>
      <c r="E80" s="82"/>
      <c r="F80" s="82"/>
      <c r="G80" s="82"/>
      <c r="H80" s="82"/>
      <c r="I80" s="82"/>
      <c r="J80" s="82"/>
      <c r="K80" s="82"/>
      <c r="L80" s="82"/>
      <c r="M80" s="82"/>
      <c r="N80" s="82"/>
    </row>
    <row r="81" spans="3:14">
      <c r="C81" s="82"/>
      <c r="D81" s="82"/>
      <c r="E81" s="82"/>
      <c r="F81" s="82"/>
      <c r="G81" s="82"/>
      <c r="H81" s="82"/>
      <c r="I81" s="82"/>
      <c r="J81" s="82"/>
      <c r="K81" s="82"/>
      <c r="L81" s="82"/>
      <c r="M81" s="82"/>
      <c r="N81" s="82"/>
    </row>
    <row r="82" spans="3:14">
      <c r="C82" s="82"/>
      <c r="D82" s="82"/>
      <c r="E82" s="82"/>
      <c r="F82" s="82"/>
      <c r="G82" s="82"/>
      <c r="H82" s="82"/>
      <c r="I82" s="82"/>
      <c r="J82" s="82"/>
      <c r="K82" s="82"/>
      <c r="L82" s="82"/>
      <c r="M82" s="82"/>
      <c r="N82" s="82"/>
    </row>
    <row r="83" spans="3:14">
      <c r="C83" s="82"/>
      <c r="D83" s="82"/>
      <c r="E83" s="82"/>
      <c r="F83" s="82"/>
      <c r="G83" s="82"/>
      <c r="H83" s="82"/>
      <c r="I83" s="82"/>
      <c r="J83" s="82"/>
      <c r="K83" s="82"/>
      <c r="L83" s="82"/>
      <c r="M83" s="82"/>
      <c r="N83" s="82"/>
    </row>
    <row r="84" spans="3:14">
      <c r="C84" s="82"/>
      <c r="D84" s="82"/>
      <c r="E84" s="82"/>
      <c r="F84" s="82"/>
      <c r="G84" s="82"/>
      <c r="H84" s="82"/>
      <c r="I84" s="82"/>
      <c r="J84" s="82"/>
      <c r="K84" s="82"/>
      <c r="L84" s="82"/>
      <c r="M84" s="82"/>
      <c r="N84" s="82"/>
    </row>
    <row r="85" spans="3:14">
      <c r="C85" s="82"/>
      <c r="D85" s="82"/>
      <c r="E85" s="82"/>
      <c r="F85" s="82"/>
      <c r="G85" s="82"/>
      <c r="H85" s="82"/>
      <c r="I85" s="82"/>
      <c r="J85" s="82"/>
      <c r="K85" s="82"/>
      <c r="L85" s="82"/>
      <c r="M85" s="82"/>
      <c r="N85" s="82"/>
    </row>
    <row r="86" spans="3:14">
      <c r="C86" s="82"/>
      <c r="D86" s="82"/>
      <c r="E86" s="82"/>
      <c r="F86" s="82"/>
      <c r="G86" s="82"/>
      <c r="H86" s="82"/>
      <c r="I86" s="82"/>
      <c r="J86" s="82"/>
      <c r="K86" s="82"/>
      <c r="L86" s="82"/>
      <c r="M86" s="82"/>
      <c r="N86" s="82"/>
    </row>
    <row r="87" spans="3:14">
      <c r="C87" s="82"/>
      <c r="D87" s="82"/>
      <c r="E87" s="82"/>
      <c r="F87" s="82"/>
      <c r="G87" s="82"/>
      <c r="H87" s="82"/>
      <c r="I87" s="82"/>
      <c r="J87" s="82"/>
      <c r="K87" s="82"/>
      <c r="L87" s="82"/>
      <c r="M87" s="82"/>
      <c r="N87" s="82"/>
    </row>
    <row r="88" spans="3:14">
      <c r="C88" s="82"/>
      <c r="D88" s="82"/>
      <c r="E88" s="82"/>
      <c r="F88" s="82"/>
      <c r="G88" s="82"/>
      <c r="H88" s="82"/>
      <c r="I88" s="82"/>
      <c r="J88" s="82"/>
      <c r="K88" s="82"/>
      <c r="L88" s="82"/>
      <c r="M88" s="82"/>
      <c r="N88" s="82"/>
    </row>
    <row r="89" spans="3:14">
      <c r="C89" s="82"/>
      <c r="D89" s="82"/>
      <c r="E89" s="82"/>
      <c r="F89" s="82"/>
      <c r="G89" s="82"/>
      <c r="H89" s="82"/>
      <c r="I89" s="82"/>
      <c r="J89" s="82"/>
      <c r="K89" s="82"/>
      <c r="L89" s="82"/>
      <c r="M89" s="82"/>
      <c r="N89" s="82"/>
    </row>
    <row r="90" spans="3:14">
      <c r="C90" s="82"/>
      <c r="D90" s="82"/>
      <c r="E90" s="82"/>
      <c r="F90" s="82"/>
      <c r="G90" s="82"/>
      <c r="H90" s="82"/>
      <c r="I90" s="82"/>
      <c r="J90" s="82"/>
      <c r="K90" s="82"/>
      <c r="L90" s="82"/>
      <c r="M90" s="82"/>
      <c r="N90" s="82"/>
    </row>
    <row r="91" spans="3:14">
      <c r="C91" s="82"/>
      <c r="D91" s="82"/>
      <c r="E91" s="82"/>
      <c r="F91" s="82"/>
      <c r="G91" s="82"/>
      <c r="H91" s="82"/>
      <c r="I91" s="82"/>
      <c r="J91" s="82"/>
      <c r="K91" s="82"/>
      <c r="L91" s="82"/>
      <c r="M91" s="82"/>
      <c r="N91" s="82"/>
    </row>
    <row r="92" spans="3:14">
      <c r="C92" s="82"/>
      <c r="D92" s="82"/>
      <c r="E92" s="82"/>
      <c r="F92" s="82"/>
      <c r="G92" s="82"/>
      <c r="H92" s="82"/>
      <c r="I92" s="82"/>
      <c r="J92" s="82"/>
      <c r="K92" s="82"/>
      <c r="L92" s="82"/>
      <c r="M92" s="82"/>
      <c r="N92" s="82"/>
    </row>
    <row r="93" spans="3:14">
      <c r="C93" s="82"/>
      <c r="D93" s="82"/>
      <c r="E93" s="82"/>
      <c r="F93" s="82"/>
      <c r="G93" s="82"/>
      <c r="H93" s="82"/>
      <c r="I93" s="82"/>
      <c r="J93" s="82"/>
      <c r="K93" s="82"/>
      <c r="L93" s="82"/>
      <c r="M93" s="82"/>
      <c r="N93" s="82"/>
    </row>
    <row r="94" spans="3:14">
      <c r="C94" s="82"/>
      <c r="D94" s="82"/>
      <c r="E94" s="82"/>
      <c r="F94" s="82"/>
      <c r="G94" s="82"/>
      <c r="H94" s="82"/>
      <c r="I94" s="82"/>
      <c r="J94" s="82"/>
      <c r="K94" s="82"/>
      <c r="L94" s="82"/>
      <c r="M94" s="82"/>
      <c r="N94" s="82"/>
    </row>
    <row r="95" spans="3:14">
      <c r="C95" s="82"/>
      <c r="D95" s="82"/>
      <c r="E95" s="82"/>
      <c r="F95" s="82"/>
      <c r="G95" s="82"/>
      <c r="H95" s="82"/>
      <c r="I95" s="82"/>
      <c r="J95" s="82"/>
      <c r="K95" s="82"/>
      <c r="L95" s="82"/>
      <c r="M95" s="82"/>
      <c r="N95" s="82"/>
    </row>
    <row r="96" spans="3:14">
      <c r="C96" s="82"/>
      <c r="D96" s="82"/>
      <c r="E96" s="82"/>
      <c r="F96" s="82"/>
      <c r="G96" s="82"/>
      <c r="H96" s="82"/>
      <c r="I96" s="82"/>
      <c r="J96" s="82"/>
      <c r="K96" s="82"/>
      <c r="L96" s="82"/>
      <c r="M96" s="82"/>
      <c r="N96" s="82"/>
    </row>
    <row r="97" spans="3:14">
      <c r="C97" s="82"/>
      <c r="D97" s="82"/>
      <c r="E97" s="82"/>
      <c r="F97" s="82"/>
      <c r="G97" s="82"/>
      <c r="H97" s="82"/>
      <c r="I97" s="82"/>
      <c r="J97" s="82"/>
      <c r="K97" s="82"/>
      <c r="L97" s="82"/>
      <c r="M97" s="82"/>
      <c r="N97" s="82"/>
    </row>
    <row r="98" spans="3:14">
      <c r="C98" s="82"/>
      <c r="D98" s="82"/>
      <c r="E98" s="82"/>
      <c r="F98" s="82"/>
      <c r="G98" s="82"/>
      <c r="H98" s="82"/>
      <c r="I98" s="82"/>
      <c r="J98" s="82"/>
      <c r="K98" s="82"/>
      <c r="L98" s="82"/>
      <c r="M98" s="82"/>
      <c r="N98" s="82"/>
    </row>
    <row r="99" spans="3:14">
      <c r="C99" s="82"/>
      <c r="D99" s="82"/>
      <c r="E99" s="82"/>
      <c r="F99" s="82"/>
      <c r="G99" s="82"/>
      <c r="H99" s="82"/>
      <c r="I99" s="82"/>
      <c r="J99" s="82"/>
      <c r="K99" s="82"/>
      <c r="L99" s="82"/>
      <c r="M99" s="82"/>
      <c r="N99" s="82"/>
    </row>
    <row r="100" spans="3:14">
      <c r="C100" s="82"/>
      <c r="D100" s="82"/>
      <c r="E100" s="82"/>
      <c r="F100" s="82"/>
      <c r="G100" s="82"/>
      <c r="H100" s="82"/>
      <c r="I100" s="82"/>
      <c r="J100" s="82"/>
      <c r="K100" s="82"/>
      <c r="L100" s="82"/>
      <c r="M100" s="82"/>
      <c r="N100" s="82"/>
    </row>
    <row r="101" spans="3:14">
      <c r="C101" s="82"/>
      <c r="D101" s="82"/>
      <c r="E101" s="82"/>
      <c r="F101" s="82"/>
      <c r="G101" s="82"/>
      <c r="H101" s="82"/>
      <c r="I101" s="82"/>
      <c r="J101" s="82"/>
      <c r="K101" s="82"/>
      <c r="L101" s="82"/>
      <c r="M101" s="82"/>
      <c r="N101" s="82"/>
    </row>
    <row r="102" spans="3:14">
      <c r="C102" s="82"/>
      <c r="D102" s="82"/>
      <c r="E102" s="82"/>
      <c r="F102" s="82"/>
      <c r="G102" s="82"/>
      <c r="H102" s="82"/>
      <c r="I102" s="82"/>
      <c r="J102" s="82"/>
      <c r="K102" s="82"/>
      <c r="L102" s="82"/>
      <c r="M102" s="82"/>
      <c r="N102" s="82"/>
    </row>
    <row r="103" spans="3:14">
      <c r="C103" s="82"/>
      <c r="D103" s="82"/>
      <c r="E103" s="82"/>
      <c r="F103" s="82"/>
      <c r="G103" s="82"/>
      <c r="H103" s="82"/>
      <c r="I103" s="82"/>
      <c r="J103" s="82"/>
      <c r="K103" s="82"/>
      <c r="L103" s="82"/>
      <c r="M103" s="82"/>
      <c r="N103" s="82"/>
    </row>
    <row r="104" spans="3:14">
      <c r="C104" s="82"/>
      <c r="D104" s="82"/>
      <c r="E104" s="82"/>
      <c r="F104" s="82"/>
      <c r="G104" s="82"/>
      <c r="H104" s="82"/>
      <c r="I104" s="82"/>
      <c r="J104" s="82"/>
      <c r="K104" s="82"/>
      <c r="L104" s="82"/>
      <c r="M104" s="82"/>
      <c r="N104" s="82"/>
    </row>
    <row r="105" spans="3:14">
      <c r="C105" s="82"/>
      <c r="D105" s="82"/>
      <c r="E105" s="82"/>
      <c r="F105" s="82"/>
      <c r="G105" s="82"/>
      <c r="H105" s="82"/>
      <c r="I105" s="82"/>
      <c r="J105" s="82"/>
      <c r="K105" s="82"/>
      <c r="L105" s="82"/>
      <c r="M105" s="82"/>
      <c r="N105" s="82"/>
    </row>
    <row r="106" spans="3:14">
      <c r="C106" s="82"/>
      <c r="D106" s="82"/>
      <c r="E106" s="82"/>
      <c r="F106" s="82"/>
      <c r="G106" s="82"/>
      <c r="H106" s="82"/>
      <c r="I106" s="82"/>
      <c r="J106" s="82"/>
      <c r="K106" s="82"/>
      <c r="L106" s="82"/>
      <c r="M106" s="82"/>
      <c r="N106" s="82"/>
    </row>
    <row r="107" spans="3:14">
      <c r="C107" s="82"/>
      <c r="D107" s="82"/>
      <c r="E107" s="82"/>
      <c r="F107" s="82"/>
      <c r="G107" s="82"/>
      <c r="H107" s="82"/>
      <c r="I107" s="82"/>
      <c r="J107" s="82"/>
      <c r="K107" s="82"/>
      <c r="L107" s="82"/>
      <c r="M107" s="82"/>
      <c r="N107" s="82"/>
    </row>
    <row r="108" spans="3:14">
      <c r="C108" s="82"/>
      <c r="D108" s="82"/>
      <c r="E108" s="82"/>
      <c r="F108" s="82"/>
      <c r="G108" s="82"/>
      <c r="H108" s="82"/>
      <c r="I108" s="82"/>
      <c r="J108" s="82"/>
      <c r="K108" s="82"/>
      <c r="L108" s="82"/>
      <c r="M108" s="82"/>
      <c r="N108" s="82"/>
    </row>
    <row r="109" spans="3:14">
      <c r="C109" s="82"/>
      <c r="D109" s="82"/>
      <c r="E109" s="82"/>
      <c r="F109" s="82"/>
      <c r="G109" s="82"/>
      <c r="H109" s="82"/>
      <c r="I109" s="82"/>
      <c r="J109" s="82"/>
      <c r="K109" s="82"/>
      <c r="L109" s="82"/>
      <c r="M109" s="82"/>
      <c r="N109" s="82"/>
    </row>
    <row r="110" spans="3:14">
      <c r="C110" s="82"/>
      <c r="D110" s="82"/>
      <c r="E110" s="82"/>
      <c r="F110" s="82"/>
      <c r="G110" s="82"/>
      <c r="H110" s="82"/>
      <c r="I110" s="82"/>
      <c r="J110" s="82"/>
      <c r="K110" s="82"/>
      <c r="L110" s="82"/>
      <c r="M110" s="82"/>
      <c r="N110" s="82"/>
    </row>
    <row r="111" spans="3:14">
      <c r="C111" s="82"/>
      <c r="D111" s="82"/>
      <c r="E111" s="82"/>
      <c r="F111" s="82"/>
      <c r="G111" s="82"/>
      <c r="H111" s="82"/>
      <c r="I111" s="82"/>
      <c r="J111" s="82"/>
      <c r="K111" s="82"/>
      <c r="L111" s="82"/>
      <c r="M111" s="82"/>
      <c r="N111" s="82"/>
    </row>
    <row r="112" spans="3:14">
      <c r="C112" s="82"/>
      <c r="D112" s="82"/>
      <c r="E112" s="82"/>
      <c r="F112" s="82"/>
      <c r="G112" s="82"/>
      <c r="H112" s="82"/>
      <c r="I112" s="82"/>
      <c r="J112" s="82"/>
      <c r="K112" s="82"/>
      <c r="L112" s="82"/>
      <c r="M112" s="82"/>
      <c r="N112" s="82"/>
    </row>
    <row r="113" spans="3:14">
      <c r="C113" s="82"/>
      <c r="D113" s="82"/>
      <c r="E113" s="82"/>
      <c r="F113" s="82"/>
      <c r="G113" s="82"/>
      <c r="H113" s="82"/>
      <c r="I113" s="82"/>
      <c r="J113" s="82"/>
      <c r="K113" s="82"/>
      <c r="L113" s="82"/>
      <c r="M113" s="82"/>
      <c r="N113" s="82"/>
    </row>
    <row r="114" spans="3:14">
      <c r="C114" s="82"/>
      <c r="D114" s="82"/>
      <c r="E114" s="82"/>
      <c r="F114" s="82"/>
      <c r="G114" s="82"/>
      <c r="H114" s="82"/>
      <c r="I114" s="82"/>
      <c r="J114" s="82"/>
      <c r="K114" s="82"/>
      <c r="L114" s="82"/>
      <c r="M114" s="82"/>
      <c r="N114" s="82"/>
    </row>
    <row r="115" spans="3:14">
      <c r="C115" s="82"/>
      <c r="D115" s="82"/>
      <c r="E115" s="82"/>
      <c r="F115" s="82"/>
      <c r="G115" s="82"/>
      <c r="H115" s="82"/>
      <c r="I115" s="82"/>
      <c r="J115" s="82"/>
      <c r="K115" s="82"/>
      <c r="L115" s="82"/>
      <c r="M115" s="82"/>
      <c r="N115" s="82"/>
    </row>
    <row r="116" spans="3:14">
      <c r="C116" s="82"/>
      <c r="D116" s="82"/>
      <c r="E116" s="82"/>
      <c r="F116" s="82"/>
      <c r="G116" s="82"/>
      <c r="H116" s="82"/>
      <c r="I116" s="82"/>
      <c r="J116" s="82"/>
      <c r="K116" s="82"/>
      <c r="L116" s="82"/>
      <c r="M116" s="82"/>
      <c r="N116" s="82"/>
    </row>
    <row r="117" spans="3:14">
      <c r="C117" s="82"/>
      <c r="D117" s="82"/>
      <c r="E117" s="82"/>
      <c r="F117" s="82"/>
      <c r="G117" s="82"/>
      <c r="H117" s="82"/>
      <c r="I117" s="82"/>
      <c r="J117" s="82"/>
      <c r="K117" s="82"/>
      <c r="L117" s="82"/>
      <c r="M117" s="82"/>
      <c r="N117" s="82"/>
    </row>
    <row r="118" spans="3:14">
      <c r="C118" s="82"/>
      <c r="D118" s="82"/>
      <c r="E118" s="82"/>
      <c r="F118" s="82"/>
      <c r="G118" s="82"/>
      <c r="H118" s="82"/>
      <c r="I118" s="82"/>
      <c r="J118" s="82"/>
      <c r="K118" s="82"/>
      <c r="L118" s="82"/>
      <c r="M118" s="82"/>
      <c r="N118" s="82"/>
    </row>
    <row r="119" spans="3:14">
      <c r="C119" s="82"/>
      <c r="D119" s="82"/>
      <c r="E119" s="82"/>
      <c r="F119" s="82"/>
      <c r="G119" s="82"/>
      <c r="H119" s="82"/>
      <c r="I119" s="82"/>
      <c r="J119" s="82"/>
      <c r="K119" s="82"/>
      <c r="L119" s="82"/>
      <c r="M119" s="82"/>
      <c r="N119" s="82"/>
    </row>
    <row r="120" spans="3:14">
      <c r="C120" s="82"/>
      <c r="D120" s="82"/>
      <c r="E120" s="82"/>
      <c r="F120" s="82"/>
      <c r="G120" s="82"/>
      <c r="H120" s="82"/>
      <c r="I120" s="82"/>
      <c r="J120" s="82"/>
      <c r="K120" s="82"/>
      <c r="L120" s="82"/>
      <c r="M120" s="82"/>
      <c r="N120" s="82"/>
    </row>
    <row r="121" spans="3:14">
      <c r="C121" s="82"/>
      <c r="D121" s="82"/>
      <c r="E121" s="82"/>
      <c r="F121" s="82"/>
      <c r="G121" s="82"/>
      <c r="H121" s="82"/>
      <c r="I121" s="82"/>
      <c r="J121" s="82"/>
      <c r="K121" s="82"/>
      <c r="L121" s="82"/>
      <c r="M121" s="82"/>
      <c r="N121" s="82"/>
    </row>
    <row r="122" spans="3:14">
      <c r="C122" s="82"/>
      <c r="D122" s="82"/>
      <c r="E122" s="82"/>
      <c r="F122" s="82"/>
      <c r="G122" s="82"/>
      <c r="H122" s="82"/>
      <c r="I122" s="82"/>
      <c r="J122" s="82"/>
      <c r="K122" s="82"/>
      <c r="L122" s="82"/>
      <c r="M122" s="82"/>
      <c r="N122" s="82"/>
    </row>
    <row r="123" spans="3:14">
      <c r="C123" s="82"/>
      <c r="D123" s="82"/>
      <c r="E123" s="82"/>
      <c r="F123" s="82"/>
      <c r="G123" s="82"/>
      <c r="H123" s="82"/>
      <c r="I123" s="82"/>
      <c r="J123" s="82"/>
      <c r="K123" s="82"/>
      <c r="L123" s="82"/>
      <c r="M123" s="82"/>
      <c r="N123" s="82"/>
    </row>
    <row r="124" spans="3:14">
      <c r="C124" s="82"/>
      <c r="D124" s="82"/>
      <c r="E124" s="82"/>
      <c r="F124" s="82"/>
      <c r="G124" s="82"/>
      <c r="H124" s="82"/>
      <c r="I124" s="82"/>
      <c r="J124" s="82"/>
      <c r="K124" s="82"/>
      <c r="L124" s="82"/>
      <c r="M124" s="82"/>
      <c r="N124" s="82"/>
    </row>
    <row r="125" spans="3:14">
      <c r="C125" s="82"/>
      <c r="D125" s="82"/>
      <c r="E125" s="82"/>
      <c r="F125" s="82"/>
      <c r="G125" s="82"/>
      <c r="H125" s="82"/>
      <c r="I125" s="82"/>
      <c r="J125" s="82"/>
      <c r="K125" s="82"/>
      <c r="L125" s="82"/>
      <c r="M125" s="82"/>
      <c r="N125" s="82"/>
    </row>
    <row r="126" spans="3:14">
      <c r="C126" s="82"/>
      <c r="D126" s="82"/>
      <c r="E126" s="82"/>
      <c r="F126" s="82"/>
      <c r="G126" s="82"/>
      <c r="H126" s="82"/>
      <c r="I126" s="82"/>
      <c r="J126" s="82"/>
      <c r="K126" s="82"/>
      <c r="L126" s="82"/>
      <c r="M126" s="82"/>
      <c r="N126" s="82"/>
    </row>
    <row r="127" spans="3:14">
      <c r="C127" s="82"/>
      <c r="D127" s="82"/>
      <c r="E127" s="82"/>
      <c r="F127" s="82"/>
      <c r="G127" s="82"/>
      <c r="H127" s="82"/>
      <c r="I127" s="82"/>
      <c r="J127" s="82"/>
      <c r="K127" s="82"/>
      <c r="L127" s="82"/>
      <c r="M127" s="82"/>
      <c r="N127" s="82"/>
    </row>
    <row r="128" spans="3:14">
      <c r="C128" s="82"/>
      <c r="D128" s="82"/>
      <c r="E128" s="82"/>
      <c r="F128" s="82"/>
      <c r="G128" s="82"/>
      <c r="H128" s="82"/>
      <c r="I128" s="82"/>
      <c r="J128" s="82"/>
      <c r="K128" s="82"/>
      <c r="L128" s="82"/>
      <c r="M128" s="82"/>
      <c r="N128" s="82"/>
    </row>
    <row r="129" spans="3:14">
      <c r="C129" s="82"/>
      <c r="D129" s="82"/>
      <c r="E129" s="82"/>
      <c r="F129" s="82"/>
      <c r="G129" s="82"/>
      <c r="H129" s="82"/>
      <c r="I129" s="82"/>
      <c r="J129" s="82"/>
      <c r="K129" s="82"/>
      <c r="L129" s="82"/>
      <c r="M129" s="82"/>
      <c r="N129" s="82"/>
    </row>
    <row r="130" spans="3:14">
      <c r="C130" s="82"/>
      <c r="D130" s="82"/>
      <c r="E130" s="82"/>
      <c r="F130" s="82"/>
      <c r="G130" s="82"/>
      <c r="H130" s="82"/>
      <c r="I130" s="82"/>
      <c r="J130" s="82"/>
      <c r="K130" s="82"/>
      <c r="L130" s="82"/>
      <c r="M130" s="82"/>
      <c r="N130" s="82"/>
    </row>
    <row r="131" spans="3:14">
      <c r="C131" s="82"/>
      <c r="D131" s="82"/>
      <c r="E131" s="82"/>
      <c r="F131" s="82"/>
      <c r="G131" s="82"/>
      <c r="H131" s="82"/>
      <c r="I131" s="82"/>
      <c r="J131" s="82"/>
      <c r="K131" s="82"/>
      <c r="L131" s="82"/>
      <c r="M131" s="82"/>
      <c r="N131" s="82"/>
    </row>
    <row r="132" spans="3:14">
      <c r="C132" s="82"/>
      <c r="D132" s="82"/>
      <c r="E132" s="82"/>
      <c r="F132" s="82"/>
      <c r="G132" s="82"/>
      <c r="H132" s="82"/>
      <c r="I132" s="82"/>
      <c r="J132" s="82"/>
      <c r="K132" s="82"/>
      <c r="L132" s="82"/>
      <c r="M132" s="82"/>
      <c r="N132" s="82"/>
    </row>
    <row r="133" spans="3:14">
      <c r="C133" s="82"/>
      <c r="D133" s="82"/>
      <c r="E133" s="82"/>
      <c r="F133" s="82"/>
      <c r="G133" s="82"/>
      <c r="H133" s="82"/>
      <c r="I133" s="82"/>
      <c r="J133" s="82"/>
      <c r="K133" s="82"/>
      <c r="L133" s="82"/>
      <c r="M133" s="82"/>
      <c r="N133" s="82"/>
    </row>
    <row r="134" spans="3:14">
      <c r="C134" s="82"/>
      <c r="D134" s="82"/>
      <c r="E134" s="82"/>
      <c r="F134" s="82"/>
      <c r="G134" s="82"/>
      <c r="H134" s="82"/>
      <c r="I134" s="82"/>
      <c r="J134" s="82"/>
      <c r="K134" s="82"/>
      <c r="L134" s="82"/>
      <c r="M134" s="82"/>
      <c r="N134" s="82"/>
    </row>
    <row r="135" spans="3:14">
      <c r="C135" s="82"/>
      <c r="D135" s="82"/>
      <c r="E135" s="82"/>
      <c r="F135" s="82"/>
      <c r="G135" s="82"/>
      <c r="H135" s="82"/>
      <c r="I135" s="82"/>
      <c r="J135" s="82"/>
      <c r="K135" s="82"/>
      <c r="L135" s="82"/>
      <c r="M135" s="82"/>
      <c r="N135" s="82"/>
    </row>
    <row r="136" spans="3:14">
      <c r="C136" s="82"/>
      <c r="D136" s="82"/>
      <c r="E136" s="82"/>
      <c r="F136" s="82"/>
      <c r="G136" s="82"/>
      <c r="H136" s="82"/>
      <c r="I136" s="82"/>
      <c r="J136" s="82"/>
      <c r="K136" s="82"/>
      <c r="L136" s="82"/>
      <c r="M136" s="82"/>
      <c r="N136" s="82"/>
    </row>
    <row r="137" spans="3:14">
      <c r="C137" s="82"/>
      <c r="D137" s="82"/>
      <c r="E137" s="82"/>
      <c r="F137" s="82"/>
      <c r="G137" s="82"/>
      <c r="H137" s="82"/>
      <c r="I137" s="82"/>
      <c r="J137" s="82"/>
      <c r="K137" s="82"/>
      <c r="L137" s="82"/>
      <c r="M137" s="82"/>
      <c r="N137" s="82"/>
    </row>
    <row r="138" spans="3:14">
      <c r="C138" s="82"/>
      <c r="D138" s="82"/>
      <c r="E138" s="82"/>
      <c r="F138" s="82"/>
      <c r="G138" s="82"/>
      <c r="H138" s="82"/>
      <c r="I138" s="82"/>
      <c r="J138" s="82"/>
      <c r="K138" s="82"/>
      <c r="L138" s="82"/>
      <c r="M138" s="82"/>
      <c r="N138" s="82"/>
    </row>
    <row r="139" spans="3:14">
      <c r="C139" s="82"/>
      <c r="D139" s="82"/>
      <c r="E139" s="82"/>
      <c r="F139" s="82"/>
      <c r="G139" s="82"/>
      <c r="H139" s="82"/>
      <c r="I139" s="82"/>
      <c r="J139" s="82"/>
      <c r="K139" s="82"/>
      <c r="L139" s="82"/>
      <c r="M139" s="82"/>
      <c r="N139" s="82"/>
    </row>
    <row r="140" spans="3:14">
      <c r="C140" s="82"/>
      <c r="D140" s="82"/>
      <c r="E140" s="82"/>
      <c r="F140" s="82"/>
      <c r="G140" s="82"/>
      <c r="H140" s="82"/>
      <c r="I140" s="82"/>
      <c r="J140" s="82"/>
      <c r="K140" s="82"/>
      <c r="L140" s="82"/>
      <c r="M140" s="82"/>
      <c r="N140" s="82"/>
    </row>
    <row r="141" spans="3:14">
      <c r="C141" s="82"/>
      <c r="D141" s="82"/>
      <c r="E141" s="82"/>
      <c r="F141" s="82"/>
      <c r="G141" s="82"/>
      <c r="H141" s="82"/>
      <c r="I141" s="82"/>
      <c r="J141" s="82"/>
      <c r="K141" s="82"/>
      <c r="L141" s="82"/>
      <c r="M141" s="82"/>
      <c r="N141" s="82"/>
    </row>
    <row r="142" spans="3:14">
      <c r="C142" s="82"/>
      <c r="D142" s="82"/>
      <c r="E142" s="82"/>
      <c r="F142" s="82"/>
      <c r="G142" s="82"/>
      <c r="H142" s="82"/>
      <c r="I142" s="82"/>
      <c r="J142" s="82"/>
      <c r="K142" s="82"/>
      <c r="L142" s="82"/>
      <c r="M142" s="82"/>
      <c r="N142" s="82"/>
    </row>
    <row r="143" spans="3:14">
      <c r="C143" s="82"/>
      <c r="D143" s="82"/>
      <c r="E143" s="82"/>
      <c r="F143" s="82"/>
      <c r="G143" s="82"/>
      <c r="H143" s="82"/>
      <c r="I143" s="82"/>
      <c r="J143" s="82"/>
      <c r="K143" s="82"/>
      <c r="L143" s="82"/>
      <c r="M143" s="82"/>
      <c r="N143" s="82"/>
    </row>
    <row r="144" spans="3:14">
      <c r="C144" s="82"/>
      <c r="D144" s="82"/>
      <c r="E144" s="82"/>
      <c r="F144" s="82"/>
      <c r="G144" s="82"/>
      <c r="H144" s="82"/>
      <c r="I144" s="82"/>
      <c r="J144" s="82"/>
      <c r="K144" s="82"/>
      <c r="L144" s="82"/>
      <c r="M144" s="82"/>
      <c r="N144" s="82"/>
    </row>
    <row r="145" spans="3:14">
      <c r="C145" s="82"/>
      <c r="D145" s="82"/>
      <c r="E145" s="82"/>
      <c r="F145" s="82"/>
      <c r="G145" s="82"/>
      <c r="H145" s="82"/>
      <c r="I145" s="82"/>
      <c r="J145" s="82"/>
      <c r="K145" s="82"/>
      <c r="L145" s="82"/>
      <c r="M145" s="82"/>
      <c r="N145" s="82"/>
    </row>
    <row r="146" spans="3:14">
      <c r="C146" s="82"/>
      <c r="D146" s="82"/>
      <c r="E146" s="82"/>
      <c r="F146" s="82"/>
      <c r="G146" s="82"/>
      <c r="H146" s="82"/>
      <c r="I146" s="82"/>
      <c r="J146" s="82"/>
      <c r="K146" s="82"/>
      <c r="L146" s="82"/>
      <c r="M146" s="82"/>
      <c r="N146" s="82"/>
    </row>
    <row r="147" spans="3:14">
      <c r="C147" s="82"/>
      <c r="D147" s="82"/>
      <c r="E147" s="82"/>
      <c r="F147" s="82"/>
      <c r="G147" s="82"/>
      <c r="H147" s="82"/>
      <c r="I147" s="82"/>
      <c r="J147" s="82"/>
      <c r="K147" s="82"/>
      <c r="L147" s="82"/>
      <c r="M147" s="82"/>
      <c r="N147" s="82"/>
    </row>
    <row r="148" spans="3:14">
      <c r="C148" s="82"/>
      <c r="D148" s="82"/>
      <c r="E148" s="82"/>
      <c r="F148" s="82"/>
      <c r="G148" s="82"/>
      <c r="H148" s="82"/>
      <c r="I148" s="82"/>
      <c r="J148" s="82"/>
      <c r="K148" s="82"/>
      <c r="L148" s="82"/>
      <c r="M148" s="82"/>
      <c r="N148" s="82"/>
    </row>
    <row r="149" spans="3:14">
      <c r="C149" s="82"/>
      <c r="D149" s="82"/>
      <c r="E149" s="82"/>
      <c r="F149" s="82"/>
      <c r="G149" s="82"/>
      <c r="H149" s="82"/>
      <c r="I149" s="82"/>
      <c r="J149" s="82"/>
      <c r="K149" s="82"/>
      <c r="L149" s="82"/>
      <c r="M149" s="82"/>
      <c r="N149" s="82"/>
    </row>
    <row r="150" spans="3:14">
      <c r="C150" s="82"/>
      <c r="D150" s="82"/>
      <c r="E150" s="82"/>
      <c r="F150" s="82"/>
      <c r="G150" s="82"/>
      <c r="H150" s="82"/>
      <c r="I150" s="82"/>
      <c r="J150" s="82"/>
      <c r="K150" s="82"/>
      <c r="L150" s="82"/>
      <c r="M150" s="82"/>
      <c r="N150" s="82"/>
    </row>
    <row r="151" spans="3:14">
      <c r="C151" s="82"/>
      <c r="D151" s="82"/>
      <c r="E151" s="82"/>
      <c r="F151" s="82"/>
      <c r="G151" s="82"/>
      <c r="H151" s="82"/>
      <c r="I151" s="82"/>
      <c r="J151" s="82"/>
      <c r="K151" s="82"/>
      <c r="L151" s="82"/>
      <c r="M151" s="82"/>
      <c r="N151" s="82"/>
    </row>
    <row r="152" spans="3:14">
      <c r="C152" s="82"/>
      <c r="D152" s="82"/>
      <c r="E152" s="82"/>
      <c r="F152" s="82"/>
      <c r="G152" s="82"/>
      <c r="H152" s="82"/>
      <c r="I152" s="82"/>
      <c r="J152" s="82"/>
      <c r="K152" s="82"/>
      <c r="L152" s="82"/>
      <c r="M152" s="82"/>
      <c r="N152" s="82"/>
    </row>
    <row r="153" spans="3:14">
      <c r="C153" s="82"/>
      <c r="D153" s="82"/>
      <c r="E153" s="82"/>
      <c r="F153" s="82"/>
      <c r="G153" s="82"/>
      <c r="H153" s="82"/>
      <c r="I153" s="82"/>
      <c r="J153" s="82"/>
      <c r="K153" s="82"/>
      <c r="L153" s="82"/>
      <c r="M153" s="82"/>
      <c r="N153" s="82"/>
    </row>
    <row r="154" spans="3:14">
      <c r="C154" s="82"/>
      <c r="D154" s="82"/>
      <c r="E154" s="82"/>
      <c r="F154" s="82"/>
      <c r="G154" s="82"/>
      <c r="H154" s="82"/>
      <c r="I154" s="82"/>
      <c r="J154" s="82"/>
      <c r="K154" s="82"/>
      <c r="L154" s="82"/>
      <c r="M154" s="82"/>
      <c r="N154" s="82"/>
    </row>
    <row r="155" spans="3:14">
      <c r="C155" s="82"/>
      <c r="D155" s="82"/>
      <c r="E155" s="82"/>
      <c r="F155" s="82"/>
      <c r="G155" s="82"/>
      <c r="H155" s="82"/>
      <c r="I155" s="82"/>
      <c r="J155" s="82"/>
      <c r="K155" s="82"/>
      <c r="L155" s="82"/>
      <c r="M155" s="82"/>
      <c r="N155" s="82"/>
    </row>
    <row r="156" spans="3:14">
      <c r="C156" s="82"/>
      <c r="D156" s="82"/>
      <c r="E156" s="82"/>
      <c r="F156" s="82"/>
      <c r="G156" s="82"/>
      <c r="H156" s="82"/>
      <c r="I156" s="82"/>
      <c r="J156" s="82"/>
      <c r="K156" s="82"/>
      <c r="L156" s="82"/>
      <c r="M156" s="82"/>
      <c r="N156" s="82"/>
    </row>
    <row r="157" spans="3:14">
      <c r="C157" s="82"/>
      <c r="D157" s="82"/>
      <c r="E157" s="82"/>
      <c r="F157" s="82"/>
      <c r="G157" s="82"/>
      <c r="H157" s="82"/>
      <c r="I157" s="82"/>
      <c r="J157" s="82"/>
      <c r="K157" s="82"/>
      <c r="L157" s="82"/>
      <c r="M157" s="82"/>
      <c r="N157" s="82"/>
    </row>
    <row r="158" spans="3:14">
      <c r="C158" s="82"/>
      <c r="D158" s="82"/>
      <c r="E158" s="82"/>
      <c r="F158" s="82"/>
      <c r="G158" s="82"/>
      <c r="H158" s="82"/>
      <c r="I158" s="82"/>
      <c r="J158" s="82"/>
      <c r="K158" s="82"/>
      <c r="L158" s="82"/>
      <c r="M158" s="82"/>
      <c r="N158" s="82"/>
    </row>
    <row r="159" spans="3:14">
      <c r="C159" s="82"/>
      <c r="D159" s="82"/>
      <c r="E159" s="82"/>
      <c r="F159" s="82"/>
      <c r="G159" s="82"/>
      <c r="H159" s="82"/>
      <c r="I159" s="82"/>
      <c r="J159" s="82"/>
      <c r="K159" s="82"/>
      <c r="L159" s="82"/>
      <c r="M159" s="82"/>
      <c r="N159" s="82"/>
    </row>
    <row r="160" spans="3:14">
      <c r="C160" s="82"/>
      <c r="D160" s="82"/>
      <c r="E160" s="82"/>
      <c r="F160" s="82"/>
      <c r="G160" s="82"/>
      <c r="H160" s="82"/>
      <c r="I160" s="82"/>
      <c r="J160" s="82"/>
      <c r="K160" s="82"/>
      <c r="L160" s="82"/>
      <c r="M160" s="82"/>
      <c r="N160" s="82"/>
    </row>
    <row r="161" spans="3:14">
      <c r="C161" s="82"/>
      <c r="D161" s="82"/>
      <c r="E161" s="82"/>
      <c r="F161" s="82"/>
      <c r="G161" s="82"/>
      <c r="H161" s="82"/>
      <c r="I161" s="82"/>
      <c r="J161" s="82"/>
      <c r="K161" s="82"/>
      <c r="L161" s="82"/>
      <c r="M161" s="82"/>
      <c r="N161" s="82"/>
    </row>
    <row r="162" spans="3:14">
      <c r="C162" s="82"/>
      <c r="D162" s="82"/>
      <c r="E162" s="82"/>
      <c r="F162" s="82"/>
      <c r="G162" s="82"/>
      <c r="H162" s="82"/>
      <c r="I162" s="82"/>
      <c r="J162" s="82"/>
      <c r="K162" s="82"/>
      <c r="L162" s="82"/>
      <c r="M162" s="82"/>
      <c r="N162" s="82"/>
    </row>
    <row r="163" spans="3:14">
      <c r="C163" s="82"/>
      <c r="D163" s="82"/>
      <c r="E163" s="82"/>
      <c r="F163" s="82"/>
      <c r="G163" s="82"/>
      <c r="H163" s="82"/>
      <c r="I163" s="82"/>
      <c r="J163" s="82"/>
      <c r="K163" s="82"/>
      <c r="L163" s="82"/>
      <c r="M163" s="82"/>
      <c r="N163" s="82"/>
    </row>
    <row r="164" spans="3:14">
      <c r="C164" s="82"/>
      <c r="D164" s="82"/>
      <c r="E164" s="82"/>
      <c r="F164" s="82"/>
      <c r="G164" s="82"/>
      <c r="H164" s="82"/>
      <c r="I164" s="82"/>
      <c r="J164" s="82"/>
      <c r="K164" s="82"/>
      <c r="L164" s="82"/>
      <c r="M164" s="82"/>
      <c r="N164" s="82"/>
    </row>
    <row r="165" spans="3:14">
      <c r="C165" s="82"/>
      <c r="D165" s="82"/>
      <c r="E165" s="82"/>
      <c r="F165" s="82"/>
      <c r="G165" s="82"/>
      <c r="H165" s="82"/>
      <c r="I165" s="82"/>
      <c r="J165" s="82"/>
      <c r="K165" s="82"/>
      <c r="L165" s="82"/>
      <c r="M165" s="82"/>
      <c r="N165" s="82"/>
    </row>
    <row r="166" spans="3:14">
      <c r="C166" s="82"/>
      <c r="D166" s="82"/>
      <c r="E166" s="82"/>
      <c r="F166" s="82"/>
      <c r="G166" s="82"/>
      <c r="H166" s="82"/>
      <c r="I166" s="82"/>
      <c r="J166" s="82"/>
      <c r="K166" s="82"/>
      <c r="L166" s="82"/>
      <c r="M166" s="82"/>
      <c r="N166" s="82"/>
    </row>
    <row r="167" spans="3:14">
      <c r="C167" s="82"/>
      <c r="D167" s="82"/>
      <c r="E167" s="82"/>
      <c r="F167" s="82"/>
      <c r="G167" s="82"/>
      <c r="H167" s="82"/>
      <c r="I167" s="82"/>
      <c r="J167" s="82"/>
      <c r="K167" s="82"/>
      <c r="L167" s="82"/>
      <c r="M167" s="82"/>
      <c r="N167" s="82"/>
    </row>
    <row r="168" spans="3:14">
      <c r="C168" s="82"/>
      <c r="D168" s="82"/>
      <c r="E168" s="82"/>
      <c r="F168" s="82"/>
      <c r="G168" s="82"/>
      <c r="H168" s="82"/>
      <c r="I168" s="82"/>
      <c r="J168" s="82"/>
      <c r="K168" s="82"/>
      <c r="L168" s="82"/>
      <c r="M168" s="82"/>
      <c r="N168" s="82"/>
    </row>
    <row r="169" spans="3:14">
      <c r="C169" s="82"/>
      <c r="D169" s="82"/>
      <c r="E169" s="82"/>
      <c r="F169" s="82"/>
      <c r="G169" s="82"/>
      <c r="H169" s="82"/>
      <c r="I169" s="82"/>
      <c r="J169" s="82"/>
      <c r="K169" s="82"/>
      <c r="L169" s="82"/>
      <c r="M169" s="82"/>
      <c r="N169" s="82"/>
    </row>
    <row r="170" spans="3:14">
      <c r="C170" s="82"/>
      <c r="D170" s="82"/>
      <c r="E170" s="82"/>
      <c r="F170" s="82"/>
      <c r="G170" s="82"/>
      <c r="H170" s="82"/>
      <c r="I170" s="82"/>
      <c r="J170" s="82"/>
      <c r="K170" s="82"/>
      <c r="L170" s="82"/>
      <c r="M170" s="82"/>
      <c r="N170" s="82"/>
    </row>
    <row r="171" spans="3:14">
      <c r="C171" s="82"/>
      <c r="D171" s="82"/>
      <c r="E171" s="82"/>
      <c r="F171" s="82"/>
      <c r="G171" s="82"/>
      <c r="H171" s="82"/>
      <c r="I171" s="82"/>
      <c r="J171" s="82"/>
      <c r="K171" s="82"/>
      <c r="L171" s="82"/>
      <c r="M171" s="82"/>
      <c r="N171" s="82"/>
    </row>
    <row r="172" spans="3:14">
      <c r="C172" s="82"/>
      <c r="D172" s="82"/>
      <c r="E172" s="82"/>
      <c r="F172" s="82"/>
      <c r="G172" s="82"/>
      <c r="H172" s="82"/>
      <c r="I172" s="82"/>
      <c r="J172" s="82"/>
      <c r="K172" s="82"/>
      <c r="L172" s="82"/>
      <c r="M172" s="82"/>
      <c r="N172" s="82"/>
    </row>
    <row r="173" spans="3:14">
      <c r="C173" s="82"/>
      <c r="D173" s="82"/>
      <c r="E173" s="82"/>
      <c r="F173" s="82"/>
      <c r="G173" s="82"/>
      <c r="H173" s="82"/>
      <c r="I173" s="82"/>
      <c r="J173" s="82"/>
      <c r="K173" s="82"/>
      <c r="L173" s="82"/>
      <c r="M173" s="82"/>
      <c r="N173" s="82"/>
    </row>
    <row r="174" spans="3:14">
      <c r="C174" s="82"/>
      <c r="D174" s="82"/>
      <c r="E174" s="82"/>
      <c r="F174" s="82"/>
      <c r="G174" s="82"/>
      <c r="H174" s="82"/>
      <c r="I174" s="82"/>
      <c r="J174" s="82"/>
      <c r="K174" s="82"/>
      <c r="L174" s="82"/>
      <c r="M174" s="82"/>
      <c r="N174" s="82"/>
    </row>
    <row r="175" spans="3:14">
      <c r="C175" s="82"/>
      <c r="D175" s="82"/>
      <c r="E175" s="82"/>
      <c r="F175" s="82"/>
      <c r="G175" s="82"/>
      <c r="H175" s="82"/>
      <c r="I175" s="82"/>
      <c r="J175" s="82"/>
      <c r="K175" s="82"/>
      <c r="L175" s="82"/>
      <c r="M175" s="82"/>
      <c r="N175" s="82"/>
    </row>
    <row r="176" spans="3:14">
      <c r="C176" s="82"/>
      <c r="D176" s="82"/>
      <c r="E176" s="82"/>
      <c r="F176" s="82"/>
      <c r="G176" s="82"/>
      <c r="H176" s="82"/>
      <c r="I176" s="82"/>
      <c r="J176" s="82"/>
      <c r="K176" s="82"/>
      <c r="L176" s="82"/>
      <c r="M176" s="82"/>
      <c r="N176" s="82"/>
    </row>
    <row r="177" spans="3:14">
      <c r="C177" s="82"/>
      <c r="D177" s="82"/>
      <c r="E177" s="82"/>
      <c r="F177" s="82"/>
      <c r="G177" s="82"/>
      <c r="H177" s="82"/>
      <c r="I177" s="82"/>
      <c r="J177" s="82"/>
      <c r="K177" s="82"/>
      <c r="L177" s="82"/>
      <c r="M177" s="82"/>
      <c r="N177" s="82"/>
    </row>
    <row r="178" spans="3:14">
      <c r="C178" s="82"/>
      <c r="D178" s="82"/>
      <c r="E178" s="82"/>
      <c r="F178" s="82"/>
      <c r="G178" s="82"/>
      <c r="H178" s="82"/>
      <c r="I178" s="82"/>
      <c r="J178" s="82"/>
      <c r="K178" s="82"/>
      <c r="L178" s="82"/>
      <c r="M178" s="82"/>
      <c r="N178" s="82"/>
    </row>
    <row r="179" spans="3:14">
      <c r="C179" s="82"/>
      <c r="D179" s="82"/>
      <c r="E179" s="82"/>
      <c r="F179" s="82"/>
      <c r="G179" s="82"/>
      <c r="H179" s="82"/>
      <c r="I179" s="82"/>
      <c r="J179" s="82"/>
      <c r="K179" s="82"/>
      <c r="L179" s="82"/>
      <c r="M179" s="82"/>
      <c r="N179" s="82"/>
    </row>
    <row r="180" spans="3:14">
      <c r="C180" s="82"/>
      <c r="D180" s="82"/>
      <c r="E180" s="82"/>
      <c r="F180" s="82"/>
      <c r="G180" s="82"/>
      <c r="H180" s="82"/>
      <c r="I180" s="82"/>
      <c r="J180" s="82"/>
      <c r="K180" s="82"/>
      <c r="L180" s="82"/>
      <c r="M180" s="82"/>
      <c r="N180" s="82"/>
    </row>
    <row r="181" spans="3:14">
      <c r="C181" s="82"/>
      <c r="D181" s="82"/>
      <c r="E181" s="82"/>
      <c r="F181" s="82"/>
      <c r="G181" s="82"/>
      <c r="H181" s="82"/>
      <c r="I181" s="82"/>
      <c r="J181" s="82"/>
      <c r="K181" s="82"/>
      <c r="L181" s="82"/>
      <c r="M181" s="82"/>
      <c r="N181" s="82"/>
    </row>
    <row r="182" spans="3:14">
      <c r="C182" s="82"/>
      <c r="D182" s="82"/>
      <c r="E182" s="82"/>
      <c r="F182" s="82"/>
      <c r="G182" s="82"/>
      <c r="H182" s="82"/>
      <c r="I182" s="82"/>
      <c r="J182" s="82"/>
      <c r="K182" s="82"/>
      <c r="L182" s="82"/>
      <c r="M182" s="82"/>
      <c r="N182" s="82"/>
    </row>
    <row r="183" spans="3:14">
      <c r="C183" s="82"/>
      <c r="D183" s="82"/>
      <c r="E183" s="82"/>
      <c r="F183" s="82"/>
      <c r="G183" s="82"/>
      <c r="H183" s="82"/>
      <c r="I183" s="82"/>
      <c r="J183" s="82"/>
      <c r="K183" s="82"/>
      <c r="L183" s="82"/>
      <c r="M183" s="82"/>
      <c r="N183" s="82"/>
    </row>
    <row r="184" spans="3:14">
      <c r="C184" s="82"/>
      <c r="D184" s="82"/>
      <c r="E184" s="82"/>
      <c r="F184" s="82"/>
      <c r="G184" s="82"/>
      <c r="H184" s="82"/>
      <c r="I184" s="82"/>
      <c r="J184" s="82"/>
      <c r="K184" s="82"/>
      <c r="L184" s="82"/>
      <c r="M184" s="82"/>
      <c r="N184" s="82"/>
    </row>
    <row r="185" spans="3:14">
      <c r="C185" s="82"/>
      <c r="D185" s="82"/>
      <c r="E185" s="82"/>
      <c r="F185" s="82"/>
      <c r="G185" s="82"/>
      <c r="H185" s="82"/>
      <c r="I185" s="82"/>
      <c r="J185" s="82"/>
      <c r="K185" s="82"/>
      <c r="L185" s="82"/>
      <c r="M185" s="82"/>
      <c r="N185" s="82"/>
    </row>
    <row r="186" spans="3:14">
      <c r="C186" s="82"/>
      <c r="D186" s="82"/>
      <c r="E186" s="82"/>
      <c r="F186" s="82"/>
      <c r="G186" s="82"/>
      <c r="H186" s="82"/>
      <c r="I186" s="82"/>
      <c r="J186" s="82"/>
      <c r="K186" s="82"/>
      <c r="L186" s="82"/>
      <c r="M186" s="82"/>
      <c r="N186" s="82"/>
    </row>
    <row r="187" spans="3:14">
      <c r="C187" s="82"/>
      <c r="D187" s="82"/>
      <c r="E187" s="82"/>
      <c r="F187" s="82"/>
      <c r="G187" s="82"/>
      <c r="H187" s="82"/>
      <c r="I187" s="82"/>
      <c r="J187" s="82"/>
      <c r="K187" s="82"/>
      <c r="L187" s="82"/>
      <c r="M187" s="82"/>
      <c r="N187" s="82"/>
    </row>
    <row r="188" spans="3:14">
      <c r="C188" s="82"/>
      <c r="D188" s="82"/>
      <c r="E188" s="82"/>
      <c r="F188" s="82"/>
      <c r="G188" s="82"/>
      <c r="H188" s="82"/>
      <c r="I188" s="82"/>
      <c r="J188" s="82"/>
      <c r="K188" s="82"/>
      <c r="L188" s="82"/>
      <c r="M188" s="82"/>
      <c r="N188" s="82"/>
    </row>
    <row r="189" spans="3:14">
      <c r="C189" s="82"/>
      <c r="D189" s="82"/>
      <c r="E189" s="82"/>
      <c r="F189" s="82"/>
      <c r="G189" s="82"/>
      <c r="H189" s="82"/>
      <c r="I189" s="82"/>
      <c r="J189" s="82"/>
      <c r="K189" s="82"/>
      <c r="L189" s="82"/>
      <c r="M189" s="82"/>
      <c r="N189" s="82"/>
    </row>
    <row r="190" spans="3:14">
      <c r="C190" s="82"/>
      <c r="D190" s="82"/>
      <c r="E190" s="82"/>
      <c r="F190" s="82"/>
      <c r="G190" s="82"/>
      <c r="H190" s="82"/>
      <c r="I190" s="82"/>
      <c r="J190" s="82"/>
      <c r="K190" s="82"/>
      <c r="L190" s="82"/>
      <c r="M190" s="82"/>
      <c r="N190" s="82"/>
    </row>
    <row r="191" spans="3:14">
      <c r="C191" s="82"/>
      <c r="D191" s="82"/>
      <c r="E191" s="82"/>
      <c r="F191" s="82"/>
      <c r="G191" s="82"/>
      <c r="H191" s="82"/>
      <c r="I191" s="82"/>
      <c r="J191" s="82"/>
      <c r="K191" s="82"/>
      <c r="L191" s="82"/>
      <c r="M191" s="82"/>
      <c r="N191" s="82"/>
    </row>
    <row r="192" spans="3:14">
      <c r="C192" s="82"/>
      <c r="D192" s="82"/>
      <c r="E192" s="82"/>
      <c r="F192" s="82"/>
      <c r="G192" s="82"/>
      <c r="H192" s="82"/>
      <c r="I192" s="82"/>
      <c r="J192" s="82"/>
      <c r="K192" s="82"/>
      <c r="L192" s="82"/>
      <c r="M192" s="82"/>
      <c r="N192" s="82"/>
    </row>
  </sheetData>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S89"/>
  <sheetViews>
    <sheetView tabSelected="1" zoomScaleNormal="100" workbookViewId="0">
      <pane xSplit="3" ySplit="5" topLeftCell="D7" activePane="bottomRight" state="frozen"/>
      <selection activeCell="D28" sqref="D28:E28"/>
      <selection pane="topRight" activeCell="D28" sqref="D28:E28"/>
      <selection pane="bottomLeft" activeCell="D28" sqref="D28:E28"/>
      <selection pane="bottomRight" sqref="A1:Q1"/>
    </sheetView>
  </sheetViews>
  <sheetFormatPr defaultRowHeight="12.75" outlineLevelRow="1" outlineLevelCol="1"/>
  <cols>
    <col min="1" max="1" width="4.85546875" style="9" customWidth="1"/>
    <col min="2" max="2" width="10.7109375" style="2" customWidth="1"/>
    <col min="3" max="3" width="24.28515625" style="2" customWidth="1"/>
    <col min="4" max="4" width="9" style="2" customWidth="1" outlineLevel="1"/>
    <col min="5" max="5" width="5.28515625" style="2" customWidth="1" outlineLevel="1"/>
    <col min="6" max="6" width="14.5703125" style="2" bestFit="1" customWidth="1"/>
    <col min="7" max="10" width="15.7109375" style="2" bestFit="1" customWidth="1"/>
    <col min="11" max="11" width="12.7109375" style="2" customWidth="1"/>
    <col min="12" max="17" width="15.7109375" style="2" bestFit="1" customWidth="1"/>
    <col min="18" max="18" width="13.140625" style="2" customWidth="1"/>
    <col min="19" max="19" width="13.85546875" style="2" customWidth="1"/>
    <col min="20" max="20" width="13.140625" style="2" customWidth="1"/>
    <col min="21" max="16384" width="9.140625" style="2"/>
  </cols>
  <sheetData>
    <row r="1" spans="1:19">
      <c r="A1" s="209" t="s">
        <v>73</v>
      </c>
      <c r="B1" s="209"/>
      <c r="C1" s="209"/>
      <c r="D1" s="209"/>
      <c r="E1" s="209"/>
      <c r="F1" s="209"/>
      <c r="G1" s="209"/>
      <c r="H1" s="209"/>
      <c r="I1" s="209"/>
      <c r="J1" s="209"/>
      <c r="K1" s="209"/>
      <c r="L1" s="209"/>
      <c r="M1" s="209"/>
      <c r="N1" s="209"/>
      <c r="O1" s="209"/>
      <c r="P1" s="209"/>
      <c r="Q1" s="209"/>
    </row>
    <row r="2" spans="1:19" ht="15.75">
      <c r="A2" s="210" t="s">
        <v>30</v>
      </c>
      <c r="B2" s="210"/>
      <c r="C2" s="210"/>
      <c r="D2" s="210"/>
      <c r="E2" s="210"/>
      <c r="F2" s="210"/>
      <c r="G2" s="210"/>
      <c r="H2" s="210"/>
      <c r="I2" s="210"/>
      <c r="J2" s="210"/>
      <c r="K2" s="210"/>
      <c r="L2" s="210"/>
      <c r="M2" s="210"/>
      <c r="N2" s="210"/>
      <c r="O2" s="210"/>
      <c r="P2" s="210"/>
      <c r="Q2" s="210"/>
    </row>
    <row r="3" spans="1:19">
      <c r="A3" s="63" t="s">
        <v>0</v>
      </c>
    </row>
    <row r="4" spans="1:19">
      <c r="A4" s="9" t="s">
        <v>1</v>
      </c>
      <c r="F4" s="86"/>
      <c r="G4" s="86"/>
      <c r="H4" s="86"/>
      <c r="I4" s="86"/>
      <c r="J4" s="86"/>
      <c r="K4" s="86"/>
      <c r="L4" s="86"/>
      <c r="M4" s="86"/>
      <c r="N4" s="86"/>
      <c r="O4" s="86"/>
      <c r="P4" s="86"/>
      <c r="Q4" s="86"/>
    </row>
    <row r="5" spans="1:19">
      <c r="B5" s="79" t="s">
        <v>74</v>
      </c>
      <c r="C5" s="62"/>
      <c r="D5" s="212" t="s">
        <v>9</v>
      </c>
      <c r="E5" s="212"/>
      <c r="F5" s="91">
        <v>43496</v>
      </c>
      <c r="G5" s="91">
        <f>EOMONTH(F5,1)</f>
        <v>43524</v>
      </c>
      <c r="H5" s="91">
        <f t="shared" ref="H5:Q5" si="0">EOMONTH(G5,1)</f>
        <v>43555</v>
      </c>
      <c r="I5" s="91">
        <f t="shared" si="0"/>
        <v>43585</v>
      </c>
      <c r="J5" s="91">
        <f t="shared" si="0"/>
        <v>43616</v>
      </c>
      <c r="K5" s="91">
        <f t="shared" si="0"/>
        <v>43646</v>
      </c>
      <c r="L5" s="91">
        <f t="shared" si="0"/>
        <v>43677</v>
      </c>
      <c r="M5" s="91">
        <f t="shared" si="0"/>
        <v>43708</v>
      </c>
      <c r="N5" s="91">
        <f t="shared" si="0"/>
        <v>43738</v>
      </c>
      <c r="O5" s="91">
        <f t="shared" si="0"/>
        <v>43769</v>
      </c>
      <c r="P5" s="91">
        <f t="shared" si="0"/>
        <v>43799</v>
      </c>
      <c r="Q5" s="91">
        <f t="shared" si="0"/>
        <v>43830</v>
      </c>
    </row>
    <row r="6" spans="1:19" ht="15.95" customHeight="1">
      <c r="A6" s="9">
        <v>1</v>
      </c>
      <c r="B6" s="2" t="s">
        <v>3</v>
      </c>
      <c r="D6" s="213">
        <f>SUM(F6:Q6)</f>
        <v>94978198</v>
      </c>
      <c r="E6" s="213"/>
      <c r="F6" s="15">
        <f>'WA Monthly'!E23</f>
        <v>13287337</v>
      </c>
      <c r="G6" s="15">
        <f>'WA Monthly'!F23</f>
        <v>12471420</v>
      </c>
      <c r="H6" s="15">
        <f>'WA Monthly'!G23</f>
        <v>15020181</v>
      </c>
      <c r="I6" s="15">
        <f>'WA Monthly'!H23</f>
        <v>10654380</v>
      </c>
      <c r="J6" s="15">
        <f>'WA Monthly'!I23</f>
        <v>9382490</v>
      </c>
      <c r="K6" s="15">
        <f>'WA Monthly'!J23</f>
        <v>10767043</v>
      </c>
      <c r="L6" s="15">
        <f>'WA Monthly'!K23</f>
        <v>9877087</v>
      </c>
      <c r="M6" s="15">
        <f>'WA Monthly'!L23</f>
        <v>13518260</v>
      </c>
      <c r="N6" s="15">
        <f>'WA Monthly'!M23</f>
        <v>0</v>
      </c>
      <c r="O6" s="15">
        <f>'WA Monthly'!N23</f>
        <v>0</v>
      </c>
      <c r="P6" s="15">
        <f>'WA Monthly'!O23</f>
        <v>0</v>
      </c>
      <c r="Q6" s="15">
        <f>'WA Monthly'!P23</f>
        <v>0</v>
      </c>
    </row>
    <row r="7" spans="1:19" ht="15.95" customHeight="1">
      <c r="A7" s="9">
        <f t="shared" ref="A7:A13" si="1">A6+1</f>
        <v>2</v>
      </c>
      <c r="B7" s="2" t="s">
        <v>6</v>
      </c>
      <c r="D7" s="214">
        <f t="shared" ref="D7:D13" si="2">SUM(F7:Q7)</f>
        <v>-58264059</v>
      </c>
      <c r="E7" s="214"/>
      <c r="F7" s="15">
        <f>'WA Monthly'!E46</f>
        <v>-6954796</v>
      </c>
      <c r="G7" s="15">
        <f>'WA Monthly'!F46</f>
        <v>-3700447</v>
      </c>
      <c r="H7" s="15">
        <f>'WA Monthly'!G46</f>
        <v>-7976187</v>
      </c>
      <c r="I7" s="15">
        <f>'WA Monthly'!H46</f>
        <v>-10773352</v>
      </c>
      <c r="J7" s="15">
        <f>'WA Monthly'!I46</f>
        <v>-9218088</v>
      </c>
      <c r="K7" s="15">
        <f>'WA Monthly'!J46</f>
        <v>-7641075</v>
      </c>
      <c r="L7" s="15">
        <f>'WA Monthly'!K46</f>
        <v>-6615371</v>
      </c>
      <c r="M7" s="15">
        <f>'WA Monthly'!L46</f>
        <v>-5384743</v>
      </c>
      <c r="N7" s="15">
        <f>'WA Monthly'!M46</f>
        <v>0</v>
      </c>
      <c r="O7" s="15">
        <f>'WA Monthly'!N46</f>
        <v>0</v>
      </c>
      <c r="P7" s="15">
        <f>'WA Monthly'!O46</f>
        <v>0</v>
      </c>
      <c r="Q7" s="15">
        <f>'WA Monthly'!P46</f>
        <v>0</v>
      </c>
    </row>
    <row r="8" spans="1:19" ht="15.95" customHeight="1">
      <c r="A8" s="9">
        <f t="shared" si="1"/>
        <v>3</v>
      </c>
      <c r="B8" s="2" t="s">
        <v>4</v>
      </c>
      <c r="D8" s="211">
        <f t="shared" si="2"/>
        <v>19180809</v>
      </c>
      <c r="E8" s="211"/>
      <c r="F8" s="15">
        <f>'WA Monthly'!E64</f>
        <v>2866380</v>
      </c>
      <c r="G8" s="15">
        <f>'WA Monthly'!F64</f>
        <v>1489795</v>
      </c>
      <c r="H8" s="15">
        <f>'WA Monthly'!G64</f>
        <v>2867639</v>
      </c>
      <c r="I8" s="15">
        <f>'WA Monthly'!H64</f>
        <v>1993772</v>
      </c>
      <c r="J8" s="15">
        <f>'WA Monthly'!I64</f>
        <v>1171486</v>
      </c>
      <c r="K8" s="15">
        <f>'WA Monthly'!J64</f>
        <v>1892856</v>
      </c>
      <c r="L8" s="15">
        <f>'WA Monthly'!K64</f>
        <v>2365484</v>
      </c>
      <c r="M8" s="15">
        <f>'WA Monthly'!L64</f>
        <v>4533397</v>
      </c>
      <c r="N8" s="15">
        <f>'WA Monthly'!M64</f>
        <v>0</v>
      </c>
      <c r="O8" s="15">
        <f>'WA Monthly'!N64</f>
        <v>0</v>
      </c>
      <c r="P8" s="15">
        <f>'WA Monthly'!O64</f>
        <v>0</v>
      </c>
      <c r="Q8" s="15">
        <f>'WA Monthly'!P64</f>
        <v>0</v>
      </c>
    </row>
    <row r="9" spans="1:19" ht="15.95" customHeight="1">
      <c r="A9" s="9">
        <f t="shared" si="1"/>
        <v>4</v>
      </c>
      <c r="B9" s="2" t="s">
        <v>5</v>
      </c>
      <c r="D9" s="211">
        <f t="shared" si="2"/>
        <v>44454743</v>
      </c>
      <c r="E9" s="211"/>
      <c r="F9" s="15">
        <f>'WA Monthly'!E81</f>
        <v>5520134</v>
      </c>
      <c r="G9" s="15">
        <f>'WA Monthly'!F81</f>
        <v>12385807</v>
      </c>
      <c r="H9" s="15">
        <f>'WA Monthly'!G81</f>
        <v>7672060</v>
      </c>
      <c r="I9" s="15">
        <f>'WA Monthly'!H81</f>
        <v>3367643</v>
      </c>
      <c r="J9" s="15">
        <f>'WA Monthly'!I81</f>
        <v>1862247</v>
      </c>
      <c r="K9" s="15">
        <f>'WA Monthly'!J81</f>
        <v>1822536</v>
      </c>
      <c r="L9" s="15">
        <f>'WA Monthly'!K81</f>
        <v>5470663</v>
      </c>
      <c r="M9" s="15">
        <f>'WA Monthly'!L81</f>
        <v>6353653</v>
      </c>
      <c r="N9" s="15">
        <f>'WA Monthly'!M81</f>
        <v>0</v>
      </c>
      <c r="O9" s="15">
        <f>'WA Monthly'!N81</f>
        <v>0</v>
      </c>
      <c r="P9" s="15">
        <f>'WA Monthly'!O81</f>
        <v>0</v>
      </c>
      <c r="Q9" s="15">
        <f>'WA Monthly'!P81</f>
        <v>0</v>
      </c>
    </row>
    <row r="10" spans="1:19" ht="15.95" customHeight="1">
      <c r="A10" s="9">
        <f t="shared" si="1"/>
        <v>5</v>
      </c>
      <c r="B10" s="2" t="s">
        <v>42</v>
      </c>
      <c r="C10" s="1"/>
      <c r="D10" s="214">
        <f t="shared" si="2"/>
        <v>-12967353</v>
      </c>
      <c r="E10" s="214"/>
      <c r="F10" s="15">
        <f>'WA Monthly'!E95</f>
        <v>-1387701</v>
      </c>
      <c r="G10" s="15">
        <f>'WA Monthly'!F95</f>
        <v>-1693902</v>
      </c>
      <c r="H10" s="15">
        <f>'WA Monthly'!G95</f>
        <v>-2209602</v>
      </c>
      <c r="I10" s="15">
        <f>'WA Monthly'!H95</f>
        <v>-1531403</v>
      </c>
      <c r="J10" s="15">
        <f>'WA Monthly'!I95</f>
        <v>-1383252</v>
      </c>
      <c r="K10" s="15">
        <f>'WA Monthly'!J95</f>
        <v>-1745648</v>
      </c>
      <c r="L10" s="15">
        <f>'WA Monthly'!K95</f>
        <v>-1528953</v>
      </c>
      <c r="M10" s="15">
        <f>'WA Monthly'!L95</f>
        <v>-1486892</v>
      </c>
      <c r="N10" s="15">
        <f>'WA Monthly'!M95</f>
        <v>0</v>
      </c>
      <c r="O10" s="15">
        <f>'WA Monthly'!N95</f>
        <v>0</v>
      </c>
      <c r="P10" s="15">
        <f>'WA Monthly'!O95</f>
        <v>0</v>
      </c>
      <c r="Q10" s="15">
        <f>'WA Monthly'!P95</f>
        <v>0</v>
      </c>
    </row>
    <row r="11" spans="1:19" ht="15.95" customHeight="1">
      <c r="A11" s="9">
        <f t="shared" si="1"/>
        <v>6</v>
      </c>
      <c r="B11" s="2" t="s">
        <v>36</v>
      </c>
      <c r="C11" s="1"/>
      <c r="D11" s="211">
        <f t="shared" si="2"/>
        <v>11681831</v>
      </c>
      <c r="E11" s="211"/>
      <c r="F11" s="15">
        <f>'WA Monthly'!E101</f>
        <v>1471955</v>
      </c>
      <c r="G11" s="15">
        <f>'WA Monthly'!F101</f>
        <v>1538740</v>
      </c>
      <c r="H11" s="15">
        <f>'WA Monthly'!G101</f>
        <v>1681541</v>
      </c>
      <c r="I11" s="15">
        <f>'WA Monthly'!H101</f>
        <v>1453127</v>
      </c>
      <c r="J11" s="15">
        <f>'WA Monthly'!I101</f>
        <v>1443878</v>
      </c>
      <c r="K11" s="15">
        <f>'WA Monthly'!J101</f>
        <v>1405484</v>
      </c>
      <c r="L11" s="15">
        <f>'WA Monthly'!K101</f>
        <v>1336049</v>
      </c>
      <c r="M11" s="15">
        <f>'WA Monthly'!L101</f>
        <v>1351057</v>
      </c>
      <c r="N11" s="15">
        <f>'WA Monthly'!M101</f>
        <v>0</v>
      </c>
      <c r="O11" s="15">
        <f>'WA Monthly'!N101</f>
        <v>0</v>
      </c>
      <c r="P11" s="15">
        <f>'WA Monthly'!O101</f>
        <v>0</v>
      </c>
      <c r="Q11" s="15">
        <f>'WA Monthly'!P101</f>
        <v>0</v>
      </c>
    </row>
    <row r="12" spans="1:19" ht="15.95" customHeight="1">
      <c r="A12" s="9">
        <f t="shared" si="1"/>
        <v>7</v>
      </c>
      <c r="B12" s="2" t="s">
        <v>37</v>
      </c>
      <c r="C12" s="1"/>
      <c r="D12" s="211">
        <f t="shared" si="2"/>
        <v>438329</v>
      </c>
      <c r="E12" s="211"/>
      <c r="F12" s="15">
        <f>'WA Monthly'!E108</f>
        <v>40867</v>
      </c>
      <c r="G12" s="15">
        <f>'WA Monthly'!F108</f>
        <v>37768</v>
      </c>
      <c r="H12" s="15">
        <f>'WA Monthly'!G108</f>
        <v>91606</v>
      </c>
      <c r="I12" s="15">
        <f>'WA Monthly'!H108</f>
        <v>122083</v>
      </c>
      <c r="J12" s="15">
        <f>'WA Monthly'!I108</f>
        <v>34547</v>
      </c>
      <c r="K12" s="15">
        <f>'WA Monthly'!J108</f>
        <v>44007</v>
      </c>
      <c r="L12" s="15">
        <f>'WA Monthly'!K108</f>
        <v>52526</v>
      </c>
      <c r="M12" s="15">
        <f>'WA Monthly'!L108</f>
        <v>14925</v>
      </c>
      <c r="N12" s="15">
        <f>'WA Monthly'!M108</f>
        <v>0</v>
      </c>
      <c r="O12" s="15">
        <f>'WA Monthly'!N108</f>
        <v>0</v>
      </c>
      <c r="P12" s="15">
        <f>'WA Monthly'!O108</f>
        <v>0</v>
      </c>
      <c r="Q12" s="15">
        <f>'WA Monthly'!P108</f>
        <v>0</v>
      </c>
    </row>
    <row r="13" spans="1:19" ht="15.95" customHeight="1">
      <c r="A13" s="9">
        <f t="shared" si="1"/>
        <v>8</v>
      </c>
      <c r="B13" s="92" t="s">
        <v>10</v>
      </c>
      <c r="C13" s="92"/>
      <c r="D13" s="215">
        <f t="shared" si="2"/>
        <v>99502498</v>
      </c>
      <c r="E13" s="215"/>
      <c r="F13" s="93">
        <f t="shared" ref="F13:Q13" si="3">SUM(F6:F12)</f>
        <v>14844176</v>
      </c>
      <c r="G13" s="93">
        <f t="shared" si="3"/>
        <v>22529181</v>
      </c>
      <c r="H13" s="93">
        <f t="shared" si="3"/>
        <v>17147238</v>
      </c>
      <c r="I13" s="93">
        <f t="shared" si="3"/>
        <v>5286250</v>
      </c>
      <c r="J13" s="93">
        <f t="shared" si="3"/>
        <v>3293308</v>
      </c>
      <c r="K13" s="93">
        <f t="shared" si="3"/>
        <v>6545203</v>
      </c>
      <c r="L13" s="93">
        <f t="shared" si="3"/>
        <v>10957485</v>
      </c>
      <c r="M13" s="93">
        <f t="shared" si="3"/>
        <v>18899657</v>
      </c>
      <c r="N13" s="93">
        <f t="shared" si="3"/>
        <v>0</v>
      </c>
      <c r="O13" s="93">
        <f t="shared" si="3"/>
        <v>0</v>
      </c>
      <c r="P13" s="93">
        <f t="shared" si="3"/>
        <v>0</v>
      </c>
      <c r="Q13" s="93">
        <f t="shared" si="3"/>
        <v>0</v>
      </c>
    </row>
    <row r="14" spans="1:19" ht="37.5" customHeight="1">
      <c r="B14" s="79" t="s">
        <v>11</v>
      </c>
      <c r="C14" s="62"/>
      <c r="D14" s="217" t="s">
        <v>192</v>
      </c>
      <c r="E14" s="218"/>
      <c r="F14" s="94">
        <f>F5</f>
        <v>43496</v>
      </c>
      <c r="G14" s="94">
        <f>G5</f>
        <v>43524</v>
      </c>
      <c r="H14" s="94">
        <f t="shared" ref="H14:Q14" si="4">H5</f>
        <v>43555</v>
      </c>
      <c r="I14" s="94">
        <f t="shared" si="4"/>
        <v>43585</v>
      </c>
      <c r="J14" s="94">
        <f t="shared" si="4"/>
        <v>43616</v>
      </c>
      <c r="K14" s="94">
        <f t="shared" si="4"/>
        <v>43646</v>
      </c>
      <c r="L14" s="94">
        <f t="shared" si="4"/>
        <v>43677</v>
      </c>
      <c r="M14" s="94">
        <f t="shared" si="4"/>
        <v>43708</v>
      </c>
      <c r="N14" s="94">
        <f t="shared" si="4"/>
        <v>43738</v>
      </c>
      <c r="O14" s="94">
        <f t="shared" si="4"/>
        <v>43769</v>
      </c>
      <c r="P14" s="94">
        <f t="shared" si="4"/>
        <v>43799</v>
      </c>
      <c r="Q14" s="94">
        <f t="shared" si="4"/>
        <v>43830</v>
      </c>
    </row>
    <row r="15" spans="1:19" ht="15.95" customHeight="1">
      <c r="A15" s="9">
        <f>A13+1</f>
        <v>9</v>
      </c>
      <c r="B15" s="2" t="s">
        <v>3</v>
      </c>
      <c r="C15" s="1"/>
      <c r="D15" s="216">
        <f t="shared" ref="D15:D22" si="5">SUM(F15:M15)</f>
        <v>72191643</v>
      </c>
      <c r="E15" s="216"/>
      <c r="F15" s="48">
        <f>'Input Tab'!C5</f>
        <v>11810646</v>
      </c>
      <c r="G15" s="48">
        <f>'Input Tab'!D5</f>
        <v>10948943</v>
      </c>
      <c r="H15" s="48">
        <f>'Input Tab'!E5</f>
        <v>10208756</v>
      </c>
      <c r="I15" s="48">
        <f>'Input Tab'!F5</f>
        <v>9754466</v>
      </c>
      <c r="J15" s="48">
        <f>'Input Tab'!G5</f>
        <v>7204007</v>
      </c>
      <c r="K15" s="48">
        <f>'Input Tab'!H5</f>
        <v>6832768</v>
      </c>
      <c r="L15" s="48">
        <f>'Input Tab'!I5</f>
        <v>7367141</v>
      </c>
      <c r="M15" s="48">
        <f>'Input Tab'!J5</f>
        <v>8064916</v>
      </c>
      <c r="N15" s="48">
        <f>'Input Tab'!K5</f>
        <v>7448796</v>
      </c>
      <c r="O15" s="48">
        <f>'Input Tab'!L5</f>
        <v>7999787</v>
      </c>
      <c r="P15" s="48">
        <f>'Input Tab'!M5</f>
        <v>11642227</v>
      </c>
      <c r="Q15" s="48">
        <f>'Input Tab'!N5</f>
        <v>12112599</v>
      </c>
      <c r="R15" s="44"/>
      <c r="S15" s="6"/>
    </row>
    <row r="16" spans="1:19" ht="15.95" customHeight="1">
      <c r="A16" s="9">
        <f t="shared" ref="A16:A33" si="6">A15+1</f>
        <v>10</v>
      </c>
      <c r="B16" s="2" t="s">
        <v>6</v>
      </c>
      <c r="C16" s="1"/>
      <c r="D16" s="216">
        <f t="shared" si="5"/>
        <v>-35994777</v>
      </c>
      <c r="E16" s="216"/>
      <c r="F16" s="95">
        <f>'Input Tab'!C6</f>
        <v>-5410854</v>
      </c>
      <c r="G16" s="95">
        <f>'Input Tab'!D6</f>
        <v>-3688134</v>
      </c>
      <c r="H16" s="95">
        <f>'Input Tab'!E6</f>
        <v>-4363041</v>
      </c>
      <c r="I16" s="95">
        <f>'Input Tab'!F6</f>
        <v>-6216672</v>
      </c>
      <c r="J16" s="95">
        <f>'Input Tab'!G6</f>
        <v>-3992970</v>
      </c>
      <c r="K16" s="95">
        <f>'Input Tab'!H6</f>
        <v>-3782256</v>
      </c>
      <c r="L16" s="95">
        <f>'Input Tab'!I6</f>
        <v>-5325599</v>
      </c>
      <c r="M16" s="95">
        <f>'Input Tab'!J6</f>
        <v>-3215251</v>
      </c>
      <c r="N16" s="95">
        <f>'Input Tab'!K6</f>
        <v>-4016772</v>
      </c>
      <c r="O16" s="95">
        <f>'Input Tab'!L6</f>
        <v>-3304259</v>
      </c>
      <c r="P16" s="95">
        <f>'Input Tab'!M6</f>
        <v>-4468025</v>
      </c>
      <c r="Q16" s="95">
        <f>'Input Tab'!N6</f>
        <v>-6320023</v>
      </c>
      <c r="R16" s="44"/>
      <c r="S16" s="6"/>
    </row>
    <row r="17" spans="1:19" ht="15.95" customHeight="1">
      <c r="A17" s="9">
        <f>A16+1</f>
        <v>11</v>
      </c>
      <c r="B17" s="2" t="s">
        <v>4</v>
      </c>
      <c r="C17" s="1"/>
      <c r="D17" s="216">
        <f t="shared" si="5"/>
        <v>18432022</v>
      </c>
      <c r="E17" s="216"/>
      <c r="F17" s="48">
        <f>'Input Tab'!C7</f>
        <v>2892906</v>
      </c>
      <c r="G17" s="48">
        <f>'Input Tab'!D7</f>
        <v>2671552</v>
      </c>
      <c r="H17" s="48">
        <f>'Input Tab'!E7</f>
        <v>2768328</v>
      </c>
      <c r="I17" s="48">
        <f>'Input Tab'!F7</f>
        <v>2491505</v>
      </c>
      <c r="J17" s="48">
        <f>'Input Tab'!G7</f>
        <v>1551263</v>
      </c>
      <c r="K17" s="48">
        <f>'Input Tab'!H7</f>
        <v>1358751</v>
      </c>
      <c r="L17" s="48">
        <f>'Input Tab'!I7</f>
        <v>2219592</v>
      </c>
      <c r="M17" s="48">
        <f>'Input Tab'!J7</f>
        <v>2478125</v>
      </c>
      <c r="N17" s="48">
        <f>'Input Tab'!K7</f>
        <v>2578207</v>
      </c>
      <c r="O17" s="48">
        <f>'Input Tab'!L7</f>
        <v>2592987</v>
      </c>
      <c r="P17" s="48">
        <f>'Input Tab'!M7</f>
        <v>2566833</v>
      </c>
      <c r="Q17" s="48">
        <f>'Input Tab'!N7</f>
        <v>2703884</v>
      </c>
      <c r="R17" s="44"/>
      <c r="S17" s="6"/>
    </row>
    <row r="18" spans="1:19" ht="15.95" customHeight="1">
      <c r="A18" s="9">
        <f t="shared" si="6"/>
        <v>12</v>
      </c>
      <c r="B18" s="2" t="s">
        <v>5</v>
      </c>
      <c r="C18" s="1"/>
      <c r="D18" s="216">
        <f t="shared" si="5"/>
        <v>42510748</v>
      </c>
      <c r="E18" s="216"/>
      <c r="F18" s="48">
        <f>'Input Tab'!C8</f>
        <v>8800467</v>
      </c>
      <c r="G18" s="48">
        <f>'Input Tab'!D8</f>
        <v>7046200</v>
      </c>
      <c r="H18" s="48">
        <f>'Input Tab'!E8</f>
        <v>6405717</v>
      </c>
      <c r="I18" s="48">
        <f>'Input Tab'!F8</f>
        <v>4139185</v>
      </c>
      <c r="J18" s="48">
        <f>'Input Tab'!G8</f>
        <v>1426182</v>
      </c>
      <c r="K18" s="48">
        <f>'Input Tab'!H8</f>
        <v>1698327</v>
      </c>
      <c r="L18" s="48">
        <f>'Input Tab'!I8</f>
        <v>5653252</v>
      </c>
      <c r="M18" s="48">
        <f>'Input Tab'!J8</f>
        <v>7341418</v>
      </c>
      <c r="N18" s="48">
        <f>'Input Tab'!K8</f>
        <v>6493558</v>
      </c>
      <c r="O18" s="48">
        <f>'Input Tab'!L8</f>
        <v>6103470</v>
      </c>
      <c r="P18" s="48">
        <f>'Input Tab'!M8</f>
        <v>6561954</v>
      </c>
      <c r="Q18" s="48">
        <f>'Input Tab'!N8</f>
        <v>8397561</v>
      </c>
      <c r="R18" s="44"/>
    </row>
    <row r="19" spans="1:19" ht="15.95" customHeight="1">
      <c r="A19" s="9">
        <f t="shared" si="6"/>
        <v>13</v>
      </c>
      <c r="B19" s="2" t="s">
        <v>42</v>
      </c>
      <c r="C19" s="1"/>
      <c r="D19" s="216">
        <f t="shared" si="5"/>
        <v>-10008809</v>
      </c>
      <c r="E19" s="216"/>
      <c r="F19" s="95">
        <f>'Input Tab'!C9</f>
        <v>-1062694</v>
      </c>
      <c r="G19" s="95">
        <f>'Input Tab'!D9</f>
        <v>-1178481</v>
      </c>
      <c r="H19" s="95">
        <f>'Input Tab'!E9</f>
        <v>-1177115</v>
      </c>
      <c r="I19" s="95">
        <f>'Input Tab'!F9</f>
        <v>-1141305</v>
      </c>
      <c r="J19" s="95">
        <f>'Input Tab'!G9</f>
        <v>-1253488</v>
      </c>
      <c r="K19" s="95">
        <f>'Input Tab'!H9</f>
        <v>-1398529</v>
      </c>
      <c r="L19" s="95">
        <f>'Input Tab'!I9</f>
        <v>-1450378</v>
      </c>
      <c r="M19" s="95">
        <f>'Input Tab'!J9</f>
        <v>-1346819</v>
      </c>
      <c r="N19" s="95">
        <f>'Input Tab'!K9</f>
        <v>-1372213</v>
      </c>
      <c r="O19" s="95">
        <f>'Input Tab'!L9</f>
        <v>-1319316</v>
      </c>
      <c r="P19" s="95">
        <f>'Input Tab'!M9</f>
        <v>-1257650</v>
      </c>
      <c r="Q19" s="95">
        <f>'Input Tab'!N9</f>
        <v>-1191496</v>
      </c>
      <c r="R19" s="44"/>
    </row>
    <row r="20" spans="1:19" ht="15.95" customHeight="1">
      <c r="A20" s="9">
        <f t="shared" si="6"/>
        <v>14</v>
      </c>
      <c r="B20" s="2" t="s">
        <v>36</v>
      </c>
      <c r="C20" s="1"/>
      <c r="D20" s="216">
        <f t="shared" si="5"/>
        <v>11567443</v>
      </c>
      <c r="E20" s="216"/>
      <c r="F20" s="96">
        <f>'Input Tab'!C10</f>
        <v>1386858</v>
      </c>
      <c r="G20" s="96">
        <f>'Input Tab'!D10</f>
        <v>1618473</v>
      </c>
      <c r="H20" s="96">
        <f>'Input Tab'!E10</f>
        <v>1456728</v>
      </c>
      <c r="I20" s="96">
        <f>'Input Tab'!F10</f>
        <v>1423781</v>
      </c>
      <c r="J20" s="96">
        <f>'Input Tab'!G10</f>
        <v>1394142</v>
      </c>
      <c r="K20" s="96">
        <f>'Input Tab'!H10</f>
        <v>1391308</v>
      </c>
      <c r="L20" s="96">
        <f>'Input Tab'!I10</f>
        <v>1452951</v>
      </c>
      <c r="M20" s="96">
        <f>'Input Tab'!J10</f>
        <v>1443202</v>
      </c>
      <c r="N20" s="96">
        <f>'Input Tab'!K10</f>
        <v>1567441</v>
      </c>
      <c r="O20" s="96">
        <f>'Input Tab'!L10</f>
        <v>1406861</v>
      </c>
      <c r="P20" s="96">
        <f>'Input Tab'!M10</f>
        <v>1416449</v>
      </c>
      <c r="Q20" s="96">
        <f>'Input Tab'!N10</f>
        <v>1446134</v>
      </c>
      <c r="R20" s="44"/>
    </row>
    <row r="21" spans="1:19" ht="15.95" customHeight="1">
      <c r="A21" s="9">
        <f t="shared" si="6"/>
        <v>15</v>
      </c>
      <c r="B21" s="2" t="s">
        <v>37</v>
      </c>
      <c r="D21" s="216">
        <f t="shared" si="5"/>
        <v>274000</v>
      </c>
      <c r="E21" s="216"/>
      <c r="F21" s="48">
        <f>'Input Tab'!C11</f>
        <v>34250</v>
      </c>
      <c r="G21" s="48">
        <f>'Input Tab'!D11</f>
        <v>34250</v>
      </c>
      <c r="H21" s="48">
        <f>'Input Tab'!E11</f>
        <v>34250</v>
      </c>
      <c r="I21" s="48">
        <f>'Input Tab'!F11</f>
        <v>34250</v>
      </c>
      <c r="J21" s="48">
        <f>'Input Tab'!G11</f>
        <v>34250</v>
      </c>
      <c r="K21" s="48">
        <f>'Input Tab'!H11</f>
        <v>34250</v>
      </c>
      <c r="L21" s="48">
        <f>'Input Tab'!I11</f>
        <v>34250</v>
      </c>
      <c r="M21" s="48">
        <f>'Input Tab'!J11</f>
        <v>34250</v>
      </c>
      <c r="N21" s="48">
        <f>'Input Tab'!K11</f>
        <v>34250</v>
      </c>
      <c r="O21" s="48">
        <f>'Input Tab'!L11</f>
        <v>34250</v>
      </c>
      <c r="P21" s="48">
        <f>'Input Tab'!M11</f>
        <v>34250</v>
      </c>
      <c r="Q21" s="48">
        <f>'Input Tab'!N11</f>
        <v>34250</v>
      </c>
      <c r="R21" s="44"/>
    </row>
    <row r="22" spans="1:19" ht="15.95" customHeight="1">
      <c r="A22" s="9">
        <f>A21+1</f>
        <v>16</v>
      </c>
      <c r="B22" s="2" t="s">
        <v>169</v>
      </c>
      <c r="D22" s="216">
        <f t="shared" si="5"/>
        <v>-2015312</v>
      </c>
      <c r="E22" s="216"/>
      <c r="F22" s="48">
        <f>('Input Tab'!C12)/'Input Tab'!C13</f>
        <v>-251914</v>
      </c>
      <c r="G22" s="48">
        <f>('Input Tab'!D12)/'Input Tab'!D13</f>
        <v>-251914</v>
      </c>
      <c r="H22" s="48">
        <f>('Input Tab'!E12)/'Input Tab'!E13</f>
        <v>-251914</v>
      </c>
      <c r="I22" s="48">
        <f>('Input Tab'!F12)/'Input Tab'!F13</f>
        <v>-251914</v>
      </c>
      <c r="J22" s="48">
        <f>('Input Tab'!G12)/'Input Tab'!G13</f>
        <v>-251914</v>
      </c>
      <c r="K22" s="48">
        <f>('Input Tab'!H12)/'Input Tab'!H13</f>
        <v>-251914</v>
      </c>
      <c r="L22" s="48">
        <f>('Input Tab'!I12)/'Input Tab'!I13</f>
        <v>-251914</v>
      </c>
      <c r="M22" s="48">
        <f>('Input Tab'!J12)/'Input Tab'!J13</f>
        <v>-251914</v>
      </c>
      <c r="N22" s="48">
        <f>('Input Tab'!K12)/'Input Tab'!K13</f>
        <v>-251914</v>
      </c>
      <c r="O22" s="48">
        <f>('Input Tab'!L12)/'Input Tab'!L13</f>
        <v>-251914</v>
      </c>
      <c r="P22" s="48">
        <f>('Input Tab'!M12)/'Input Tab'!M13</f>
        <v>-251914</v>
      </c>
      <c r="Q22" s="48">
        <f>('Input Tab'!N12)/'Input Tab'!N13</f>
        <v>-251914</v>
      </c>
      <c r="R22" s="44"/>
    </row>
    <row r="23" spans="1:19" ht="20.25" customHeight="1">
      <c r="A23" s="9">
        <f>A22+1</f>
        <v>17</v>
      </c>
      <c r="B23" s="92" t="s">
        <v>7</v>
      </c>
      <c r="C23" s="92"/>
      <c r="D23" s="215">
        <f>SUM(D15:E22)</f>
        <v>96956958</v>
      </c>
      <c r="E23" s="215"/>
      <c r="F23" s="97">
        <f>SUM(F15:F22)</f>
        <v>18199665</v>
      </c>
      <c r="G23" s="97">
        <f t="shared" ref="G23:Q23" si="7">SUM(G15:G22)</f>
        <v>17200889</v>
      </c>
      <c r="H23" s="97">
        <f t="shared" si="7"/>
        <v>15081709</v>
      </c>
      <c r="I23" s="97">
        <f t="shared" si="7"/>
        <v>10233296</v>
      </c>
      <c r="J23" s="97">
        <f t="shared" si="7"/>
        <v>6111472</v>
      </c>
      <c r="K23" s="97">
        <f t="shared" si="7"/>
        <v>5882705</v>
      </c>
      <c r="L23" s="97">
        <f t="shared" si="7"/>
        <v>9699295</v>
      </c>
      <c r="M23" s="97">
        <f t="shared" si="7"/>
        <v>14547927</v>
      </c>
      <c r="N23" s="97">
        <f t="shared" si="7"/>
        <v>12481353</v>
      </c>
      <c r="O23" s="97">
        <f t="shared" si="7"/>
        <v>13261866</v>
      </c>
      <c r="P23" s="97">
        <f t="shared" si="7"/>
        <v>16244124</v>
      </c>
      <c r="Q23" s="97">
        <f t="shared" si="7"/>
        <v>16930995</v>
      </c>
      <c r="R23" s="44"/>
    </row>
    <row r="24" spans="1:19" ht="28.5" customHeight="1">
      <c r="A24" s="9">
        <f t="shared" si="6"/>
        <v>18</v>
      </c>
      <c r="B24" s="92" t="s">
        <v>8</v>
      </c>
      <c r="C24" s="92"/>
      <c r="D24" s="227">
        <f>SUM(F24:L24)</f>
        <v>-1806190</v>
      </c>
      <c r="E24" s="227" t="str">
        <f t="shared" ref="E24:Q24" si="8">IF(E13=0," ",E13-E23)</f>
        <v xml:space="preserve"> </v>
      </c>
      <c r="F24" s="97">
        <f t="shared" si="8"/>
        <v>-3355489</v>
      </c>
      <c r="G24" s="97">
        <f t="shared" si="8"/>
        <v>5328292</v>
      </c>
      <c r="H24" s="97">
        <f t="shared" si="8"/>
        <v>2065529</v>
      </c>
      <c r="I24" s="97">
        <f t="shared" si="8"/>
        <v>-4947046</v>
      </c>
      <c r="J24" s="97">
        <f t="shared" si="8"/>
        <v>-2818164</v>
      </c>
      <c r="K24" s="97">
        <f t="shared" si="8"/>
        <v>662498</v>
      </c>
      <c r="L24" s="97">
        <f t="shared" si="8"/>
        <v>1258190</v>
      </c>
      <c r="M24" s="97">
        <f t="shared" si="8"/>
        <v>4351730</v>
      </c>
      <c r="N24" s="97" t="str">
        <f t="shared" si="8"/>
        <v xml:space="preserve"> </v>
      </c>
      <c r="O24" s="97" t="str">
        <f t="shared" si="8"/>
        <v xml:space="preserve"> </v>
      </c>
      <c r="P24" s="97" t="str">
        <f t="shared" si="8"/>
        <v xml:space="preserve"> </v>
      </c>
      <c r="Q24" s="97" t="str">
        <f t="shared" si="8"/>
        <v xml:space="preserve"> </v>
      </c>
    </row>
    <row r="25" spans="1:19" ht="26.25" customHeight="1">
      <c r="A25" s="9">
        <f t="shared" si="6"/>
        <v>19</v>
      </c>
      <c r="B25" s="29" t="s">
        <v>123</v>
      </c>
      <c r="C25" s="29"/>
      <c r="D25" s="223">
        <f>SUM(F25:Q25)</f>
        <v>-2379929</v>
      </c>
      <c r="E25" s="223"/>
      <c r="F25" s="30">
        <f>'WA Monthly'!E138</f>
        <v>738821</v>
      </c>
      <c r="G25" s="30">
        <f>'WA Monthly'!F138</f>
        <v>-2484774</v>
      </c>
      <c r="H25" s="30">
        <f>'WA Monthly'!G138</f>
        <v>2619748</v>
      </c>
      <c r="I25" s="30">
        <f>'WA Monthly'!H138</f>
        <v>-439038</v>
      </c>
      <c r="J25" s="30">
        <f>'WA Monthly'!I138</f>
        <v>-1100871</v>
      </c>
      <c r="K25" s="30">
        <f>'WA Monthly'!J138</f>
        <v>-1173869</v>
      </c>
      <c r="L25" s="30">
        <f>'WA Monthly'!K138</f>
        <v>-580578</v>
      </c>
      <c r="M25" s="30">
        <f>'WA Monthly'!L138</f>
        <v>40632</v>
      </c>
      <c r="N25" s="30" t="str">
        <f>'WA Monthly'!M138</f>
        <v xml:space="preserve"> </v>
      </c>
      <c r="O25" s="30" t="str">
        <f>'WA Monthly'!N138</f>
        <v xml:space="preserve"> </v>
      </c>
      <c r="P25" s="30" t="str">
        <f>'WA Monthly'!O138</f>
        <v xml:space="preserve"> </v>
      </c>
      <c r="Q25" s="30" t="str">
        <f>'WA Monthly'!P138</f>
        <v xml:space="preserve"> </v>
      </c>
      <c r="S25" s="10"/>
    </row>
    <row r="26" spans="1:19" ht="19.5" customHeight="1">
      <c r="A26" s="9">
        <f>A25+1</f>
        <v>20</v>
      </c>
      <c r="B26" s="29" t="s">
        <v>39</v>
      </c>
      <c r="C26" s="29"/>
      <c r="D26" s="223">
        <f>SUM(F26:Q26)</f>
        <v>165611</v>
      </c>
      <c r="E26" s="223"/>
      <c r="F26" s="30">
        <f>+F24+F25</f>
        <v>-2616668</v>
      </c>
      <c r="G26" s="30">
        <f t="shared" ref="G26:Q26" si="9">IF(G13=0,0,+G24+G25)</f>
        <v>2843518</v>
      </c>
      <c r="H26" s="30">
        <f t="shared" si="9"/>
        <v>4685277</v>
      </c>
      <c r="I26" s="30">
        <f t="shared" si="9"/>
        <v>-5386084</v>
      </c>
      <c r="J26" s="30">
        <f t="shared" si="9"/>
        <v>-3919035</v>
      </c>
      <c r="K26" s="30">
        <f t="shared" si="9"/>
        <v>-511371</v>
      </c>
      <c r="L26" s="30">
        <f t="shared" si="9"/>
        <v>677612</v>
      </c>
      <c r="M26" s="30">
        <f t="shared" si="9"/>
        <v>4392362</v>
      </c>
      <c r="N26" s="30">
        <f t="shared" si="9"/>
        <v>0</v>
      </c>
      <c r="O26" s="30">
        <f t="shared" si="9"/>
        <v>0</v>
      </c>
      <c r="P26" s="30">
        <f t="shared" si="9"/>
        <v>0</v>
      </c>
      <c r="Q26" s="30">
        <f t="shared" si="9"/>
        <v>0</v>
      </c>
    </row>
    <row r="27" spans="1:19" ht="18.75" customHeight="1">
      <c r="A27" s="9">
        <f t="shared" si="6"/>
        <v>21</v>
      </c>
      <c r="B27" s="2" t="s">
        <v>71</v>
      </c>
      <c r="D27" s="14"/>
      <c r="E27" s="14"/>
      <c r="F27" s="98">
        <f>'Input Tab'!C13</f>
        <v>0.6573</v>
      </c>
      <c r="G27" s="98">
        <f>'Input Tab'!D13</f>
        <v>0.6573</v>
      </c>
      <c r="H27" s="98">
        <f>'Input Tab'!E13</f>
        <v>0.6573</v>
      </c>
      <c r="I27" s="98">
        <f>'Input Tab'!F13</f>
        <v>0.6573</v>
      </c>
      <c r="J27" s="98">
        <f>'Input Tab'!G13</f>
        <v>0.6573</v>
      </c>
      <c r="K27" s="98">
        <f>'Input Tab'!H13</f>
        <v>0.6573</v>
      </c>
      <c r="L27" s="98">
        <f>'Input Tab'!I13</f>
        <v>0.6573</v>
      </c>
      <c r="M27" s="98">
        <f>'Input Tab'!J13</f>
        <v>0.6573</v>
      </c>
      <c r="N27" s="98">
        <f>'Input Tab'!K13</f>
        <v>0.6573</v>
      </c>
      <c r="O27" s="98">
        <f>'Input Tab'!L13</f>
        <v>0.6573</v>
      </c>
      <c r="P27" s="98">
        <f>'Input Tab'!M13</f>
        <v>0.6573</v>
      </c>
      <c r="Q27" s="98">
        <f>'Input Tab'!N13</f>
        <v>0.6573</v>
      </c>
    </row>
    <row r="28" spans="1:19" ht="20.25" customHeight="1">
      <c r="A28" s="9">
        <f t="shared" si="6"/>
        <v>22</v>
      </c>
      <c r="B28" s="2" t="s">
        <v>72</v>
      </c>
      <c r="D28" s="219">
        <f>SUM(F28:M28)</f>
        <v>108856</v>
      </c>
      <c r="E28" s="219"/>
      <c r="F28" s="99">
        <f>+F26*F27</f>
        <v>-1719936</v>
      </c>
      <c r="G28" s="99">
        <f>+G26*G27</f>
        <v>1869044</v>
      </c>
      <c r="H28" s="99">
        <f>+H26*H27</f>
        <v>3079633</v>
      </c>
      <c r="I28" s="99">
        <f t="shared" ref="I28:Q28" si="10">+I26*I27</f>
        <v>-3540273</v>
      </c>
      <c r="J28" s="99">
        <f t="shared" si="10"/>
        <v>-2575982</v>
      </c>
      <c r="K28" s="99">
        <f t="shared" si="10"/>
        <v>-336124</v>
      </c>
      <c r="L28" s="99">
        <f t="shared" si="10"/>
        <v>445394</v>
      </c>
      <c r="M28" s="99">
        <f t="shared" si="10"/>
        <v>2887100</v>
      </c>
      <c r="N28" s="99">
        <f t="shared" si="10"/>
        <v>0</v>
      </c>
      <c r="O28" s="99">
        <f t="shared" si="10"/>
        <v>0</v>
      </c>
      <c r="P28" s="99">
        <f t="shared" si="10"/>
        <v>0</v>
      </c>
      <c r="Q28" s="99">
        <f t="shared" si="10"/>
        <v>0</v>
      </c>
    </row>
    <row r="29" spans="1:19" ht="20.25" customHeight="1">
      <c r="A29" s="9">
        <f>A28+1</f>
        <v>23</v>
      </c>
      <c r="B29" s="2" t="s">
        <v>150</v>
      </c>
      <c r="D29" s="219">
        <f>SUM(F29:M29)</f>
        <v>0</v>
      </c>
      <c r="E29" s="219"/>
      <c r="F29" s="99">
        <f>'WA Monthly'!E136</f>
        <v>0</v>
      </c>
      <c r="G29" s="99">
        <f>'WA Monthly'!F136</f>
        <v>0</v>
      </c>
      <c r="H29" s="99">
        <f>'WA Monthly'!G136</f>
        <v>0</v>
      </c>
      <c r="I29" s="99">
        <f>'WA Monthly'!H136</f>
        <v>0</v>
      </c>
      <c r="J29" s="99">
        <f>'WA Monthly'!I136</f>
        <v>0</v>
      </c>
      <c r="K29" s="99">
        <f>'WA Monthly'!J136</f>
        <v>0</v>
      </c>
      <c r="L29" s="99">
        <f>'WA Monthly'!K136</f>
        <v>0</v>
      </c>
      <c r="M29" s="99">
        <f>'WA Monthly'!L136</f>
        <v>0</v>
      </c>
      <c r="N29" s="99">
        <f>'WA Monthly'!M136</f>
        <v>0</v>
      </c>
      <c r="O29" s="99">
        <f>'WA Monthly'!N136</f>
        <v>0</v>
      </c>
      <c r="P29" s="99">
        <f>'WA Monthly'!O136</f>
        <v>0</v>
      </c>
      <c r="Q29" s="99">
        <f>'WA Monthly'!P136</f>
        <v>0</v>
      </c>
    </row>
    <row r="30" spans="1:19" ht="29.25" customHeight="1">
      <c r="A30" s="9">
        <f t="shared" si="6"/>
        <v>24</v>
      </c>
      <c r="B30" s="221" t="s">
        <v>99</v>
      </c>
      <c r="C30" s="221"/>
      <c r="D30" s="225">
        <f>SUM(F30:Q30)</f>
        <v>-330707</v>
      </c>
      <c r="E30" s="225"/>
      <c r="F30" s="100">
        <f>'WA RRC'!B19</f>
        <v>302672</v>
      </c>
      <c r="G30" s="100">
        <f>'WA RRC'!C19</f>
        <v>-383896</v>
      </c>
      <c r="H30" s="100">
        <f>'WA RRC'!D19</f>
        <v>-614997</v>
      </c>
      <c r="I30" s="100">
        <f>'WA RRC'!E19</f>
        <v>412799</v>
      </c>
      <c r="J30" s="100">
        <f>'WA RRC'!F19</f>
        <v>112155</v>
      </c>
      <c r="K30" s="100">
        <f>'WA RRC'!G19</f>
        <v>-87471</v>
      </c>
      <c r="L30" s="100">
        <f>'WA RRC'!H19</f>
        <v>297602</v>
      </c>
      <c r="M30" s="100">
        <f>'WA RRC'!I19</f>
        <v>-369571</v>
      </c>
      <c r="N30" s="100" t="str">
        <f>'WA RRC'!J19</f>
        <v xml:space="preserve"> </v>
      </c>
      <c r="O30" s="100" t="str">
        <f>'WA RRC'!K19</f>
        <v xml:space="preserve"> </v>
      </c>
      <c r="P30" s="100" t="str">
        <f>'WA RRC'!L19</f>
        <v xml:space="preserve"> </v>
      </c>
      <c r="Q30" s="100" t="str">
        <f>'WA RRC'!M19</f>
        <v xml:space="preserve"> </v>
      </c>
    </row>
    <row r="31" spans="1:19" ht="27" customHeight="1">
      <c r="A31" s="9">
        <f t="shared" si="6"/>
        <v>25</v>
      </c>
      <c r="B31" s="224" t="s">
        <v>62</v>
      </c>
      <c r="C31" s="224"/>
      <c r="D31" s="226">
        <f>SUM(F31:M31)</f>
        <v>-221851</v>
      </c>
      <c r="E31" s="226"/>
      <c r="F31" s="27">
        <f>IF(F13=0," ",F28+F30+F29)</f>
        <v>-1417264</v>
      </c>
      <c r="G31" s="27">
        <f t="shared" ref="G31:Q31" si="11">IF(G13=0," ",G28+G30+G29)</f>
        <v>1485148</v>
      </c>
      <c r="H31" s="27">
        <f t="shared" si="11"/>
        <v>2464636</v>
      </c>
      <c r="I31" s="27">
        <f t="shared" si="11"/>
        <v>-3127474</v>
      </c>
      <c r="J31" s="27">
        <f t="shared" si="11"/>
        <v>-2463827</v>
      </c>
      <c r="K31" s="27">
        <f t="shared" si="11"/>
        <v>-423595</v>
      </c>
      <c r="L31" s="27">
        <f t="shared" si="11"/>
        <v>742996</v>
      </c>
      <c r="M31" s="27">
        <f t="shared" si="11"/>
        <v>2517529</v>
      </c>
      <c r="N31" s="27" t="str">
        <f t="shared" si="11"/>
        <v xml:space="preserve"> </v>
      </c>
      <c r="O31" s="27" t="str">
        <f t="shared" si="11"/>
        <v xml:space="preserve"> </v>
      </c>
      <c r="P31" s="27" t="str">
        <f t="shared" si="11"/>
        <v xml:space="preserve"> </v>
      </c>
      <c r="Q31" s="27" t="str">
        <f t="shared" si="11"/>
        <v xml:space="preserve"> </v>
      </c>
    </row>
    <row r="32" spans="1:19" ht="21" hidden="1" customHeight="1">
      <c r="A32" s="9">
        <f t="shared" si="6"/>
        <v>26</v>
      </c>
      <c r="B32" s="222" t="s">
        <v>122</v>
      </c>
      <c r="C32" s="222"/>
      <c r="D32" s="42"/>
      <c r="E32" s="42"/>
      <c r="F32" s="27"/>
      <c r="G32" s="27"/>
      <c r="H32" s="27"/>
      <c r="I32" s="27"/>
      <c r="J32" s="27"/>
      <c r="K32" s="27"/>
      <c r="L32" s="101">
        <v>0</v>
      </c>
      <c r="M32" s="27"/>
      <c r="N32" s="27"/>
      <c r="O32" s="27"/>
      <c r="P32" s="27"/>
      <c r="Q32" s="27"/>
    </row>
    <row r="33" spans="1:19" ht="28.5" customHeight="1">
      <c r="A33" s="9">
        <f t="shared" si="6"/>
        <v>27</v>
      </c>
      <c r="B33" s="92" t="s">
        <v>115</v>
      </c>
      <c r="C33" s="92"/>
      <c r="D33" s="71"/>
      <c r="E33" s="71"/>
      <c r="F33" s="13">
        <f>IF(F13=0," ",F31)</f>
        <v>-1417264</v>
      </c>
      <c r="G33" s="13">
        <f t="shared" ref="G33:Q33" si="12">IF(G13=0," ",+F33+G31)</f>
        <v>67884</v>
      </c>
      <c r="H33" s="13">
        <f t="shared" si="12"/>
        <v>2532520</v>
      </c>
      <c r="I33" s="13">
        <f t="shared" si="12"/>
        <v>-594954</v>
      </c>
      <c r="J33" s="13">
        <f t="shared" si="12"/>
        <v>-3058781</v>
      </c>
      <c r="K33" s="13">
        <f t="shared" si="12"/>
        <v>-3482376</v>
      </c>
      <c r="L33" s="13">
        <f t="shared" si="12"/>
        <v>-2739380</v>
      </c>
      <c r="M33" s="13">
        <f t="shared" si="12"/>
        <v>-221851</v>
      </c>
      <c r="N33" s="13" t="str">
        <f t="shared" si="12"/>
        <v xml:space="preserve"> </v>
      </c>
      <c r="O33" s="13" t="str">
        <f t="shared" si="12"/>
        <v xml:space="preserve"> </v>
      </c>
      <c r="P33" s="13" t="str">
        <f t="shared" si="12"/>
        <v xml:space="preserve"> </v>
      </c>
      <c r="Q33" s="13" t="str">
        <f t="shared" si="12"/>
        <v xml:space="preserve"> </v>
      </c>
      <c r="R33" s="10"/>
    </row>
    <row r="34" spans="1:19" ht="30.75" customHeight="1" outlineLevel="1">
      <c r="A34" s="2" t="s">
        <v>33</v>
      </c>
      <c r="B34" s="102">
        <v>10000000</v>
      </c>
      <c r="C34" s="103" t="s">
        <v>34</v>
      </c>
      <c r="D34" s="72">
        <v>0.9</v>
      </c>
      <c r="E34" s="72">
        <v>0.9</v>
      </c>
      <c r="F34" s="14">
        <f t="shared" ref="F34:Q34" si="13">IF(F13=0," ",IF(ABS(F$33)&lt;$B34,0,(ABS(F$33)-$B34)*SIGN(F$33)))</f>
        <v>0</v>
      </c>
      <c r="G34" s="14">
        <f t="shared" si="13"/>
        <v>0</v>
      </c>
      <c r="H34" s="14">
        <f t="shared" si="13"/>
        <v>0</v>
      </c>
      <c r="I34" s="14">
        <f t="shared" si="13"/>
        <v>0</v>
      </c>
      <c r="J34" s="14">
        <f t="shared" si="13"/>
        <v>0</v>
      </c>
      <c r="K34" s="14">
        <f t="shared" si="13"/>
        <v>0</v>
      </c>
      <c r="L34" s="14">
        <f t="shared" si="13"/>
        <v>0</v>
      </c>
      <c r="M34" s="14">
        <f t="shared" si="13"/>
        <v>0</v>
      </c>
      <c r="N34" s="14" t="str">
        <f t="shared" si="13"/>
        <v xml:space="preserve"> </v>
      </c>
      <c r="O34" s="14" t="str">
        <f t="shared" si="13"/>
        <v xml:space="preserve"> </v>
      </c>
      <c r="P34" s="14" t="str">
        <f t="shared" si="13"/>
        <v xml:space="preserve"> </v>
      </c>
      <c r="Q34" s="14" t="str">
        <f t="shared" si="13"/>
        <v xml:space="preserve"> </v>
      </c>
      <c r="R34" s="11"/>
      <c r="S34" s="104"/>
    </row>
    <row r="35" spans="1:19" ht="19.5" customHeight="1" outlineLevel="1">
      <c r="A35" s="2" t="s">
        <v>33</v>
      </c>
      <c r="B35" s="102">
        <v>4000000</v>
      </c>
      <c r="C35" s="103" t="str">
        <f>"to "&amp;TEXT(B34,"$#,##0,,")&amp;"M"</f>
        <v>to $10M</v>
      </c>
      <c r="D35" s="72">
        <v>0.5</v>
      </c>
      <c r="E35" s="72">
        <v>0.75</v>
      </c>
      <c r="F35" s="14">
        <f t="shared" ref="F35:Q35" si="14">IF(F13=0," ",IF(ABS(F$33)&lt;$B35,0,MIN($B$34-$B$35,ABS(F$33)-$B35)*SIGN(F$33)))</f>
        <v>0</v>
      </c>
      <c r="G35" s="14">
        <f t="shared" si="14"/>
        <v>0</v>
      </c>
      <c r="H35" s="14">
        <f t="shared" si="14"/>
        <v>0</v>
      </c>
      <c r="I35" s="14">
        <f t="shared" si="14"/>
        <v>0</v>
      </c>
      <c r="J35" s="14">
        <f t="shared" si="14"/>
        <v>0</v>
      </c>
      <c r="K35" s="14">
        <f t="shared" si="14"/>
        <v>0</v>
      </c>
      <c r="L35" s="14">
        <f t="shared" si="14"/>
        <v>0</v>
      </c>
      <c r="M35" s="14">
        <f t="shared" si="14"/>
        <v>0</v>
      </c>
      <c r="N35" s="14" t="str">
        <f t="shared" si="14"/>
        <v xml:space="preserve"> </v>
      </c>
      <c r="O35" s="14" t="str">
        <f t="shared" si="14"/>
        <v xml:space="preserve"> </v>
      </c>
      <c r="P35" s="14" t="str">
        <f t="shared" si="14"/>
        <v xml:space="preserve"> </v>
      </c>
      <c r="Q35" s="14" t="str">
        <f t="shared" si="14"/>
        <v xml:space="preserve"> </v>
      </c>
      <c r="R35" s="11"/>
      <c r="S35" s="104"/>
    </row>
    <row r="36" spans="1:19" ht="21.75" customHeight="1" outlineLevel="1">
      <c r="A36" s="2" t="s">
        <v>33</v>
      </c>
      <c r="B36" s="102">
        <v>0</v>
      </c>
      <c r="C36" s="103" t="str">
        <f>"to "&amp;TEXT(B35,"$#,##0,,")&amp;"M"</f>
        <v>to $4M</v>
      </c>
      <c r="D36" s="72">
        <v>0</v>
      </c>
      <c r="E36" s="72">
        <v>0</v>
      </c>
      <c r="F36" s="14">
        <f t="shared" ref="F36:Q36" si="15">IF(F13=0," ",IF(ABS(F$33)&lt;$B36,0,MIN($B$35-$B$36,ABS(F$33)-$B36)*SIGN(F$33)))</f>
        <v>-1417264</v>
      </c>
      <c r="G36" s="14">
        <f t="shared" si="15"/>
        <v>67884</v>
      </c>
      <c r="H36" s="14">
        <f t="shared" si="15"/>
        <v>2532520</v>
      </c>
      <c r="I36" s="14">
        <f t="shared" si="15"/>
        <v>-594954</v>
      </c>
      <c r="J36" s="14">
        <f t="shared" si="15"/>
        <v>-3058781</v>
      </c>
      <c r="K36" s="14">
        <f t="shared" si="15"/>
        <v>-3482376</v>
      </c>
      <c r="L36" s="14">
        <f t="shared" si="15"/>
        <v>-2739380</v>
      </c>
      <c r="M36" s="14">
        <f t="shared" si="15"/>
        <v>-221851</v>
      </c>
      <c r="N36" s="14" t="str">
        <f t="shared" si="15"/>
        <v xml:space="preserve"> </v>
      </c>
      <c r="O36" s="14" t="str">
        <f t="shared" si="15"/>
        <v xml:space="preserve"> </v>
      </c>
      <c r="P36" s="14" t="str">
        <f t="shared" si="15"/>
        <v xml:space="preserve"> </v>
      </c>
      <c r="Q36" s="14" t="str">
        <f t="shared" si="15"/>
        <v xml:space="preserve"> </v>
      </c>
      <c r="R36" s="11"/>
    </row>
    <row r="37" spans="1:19" ht="15.95" customHeight="1" outlineLevel="1">
      <c r="A37" s="2"/>
      <c r="B37" s="105"/>
      <c r="C37" s="2" t="s">
        <v>35</v>
      </c>
      <c r="D37" s="73"/>
      <c r="E37" s="73"/>
      <c r="F37" s="74">
        <f t="shared" ref="F37:Q37" si="16">IF(F13=0," ",SUM(F34:F36)-F33)</f>
        <v>0</v>
      </c>
      <c r="G37" s="74">
        <f t="shared" si="16"/>
        <v>0</v>
      </c>
      <c r="H37" s="74">
        <f t="shared" si="16"/>
        <v>0</v>
      </c>
      <c r="I37" s="74">
        <f t="shared" si="16"/>
        <v>0</v>
      </c>
      <c r="J37" s="74">
        <f t="shared" si="16"/>
        <v>0</v>
      </c>
      <c r="K37" s="74">
        <f t="shared" si="16"/>
        <v>0</v>
      </c>
      <c r="L37" s="74">
        <f t="shared" si="16"/>
        <v>0</v>
      </c>
      <c r="M37" s="74">
        <f t="shared" si="16"/>
        <v>0</v>
      </c>
      <c r="N37" s="74" t="str">
        <f t="shared" si="16"/>
        <v xml:space="preserve"> </v>
      </c>
      <c r="O37" s="74" t="str">
        <f t="shared" si="16"/>
        <v xml:space="preserve"> </v>
      </c>
      <c r="P37" s="74" t="str">
        <f t="shared" si="16"/>
        <v xml:space="preserve"> </v>
      </c>
      <c r="Q37" s="74" t="str">
        <f t="shared" si="16"/>
        <v xml:space="preserve"> </v>
      </c>
      <c r="R37" s="12"/>
    </row>
    <row r="38" spans="1:19" ht="23.25" customHeight="1">
      <c r="A38" s="2" t="s">
        <v>100</v>
      </c>
      <c r="D38" s="75"/>
      <c r="E38" s="75"/>
      <c r="F38" s="14">
        <f t="shared" ref="F38:Q38" si="17">IF(F13=0," ",SUMPRODUCT(IF(F33&gt;0,$D$34:$D$36,$E$34:$E$36),F34:F36))</f>
        <v>0</v>
      </c>
      <c r="G38" s="14">
        <f t="shared" si="17"/>
        <v>0</v>
      </c>
      <c r="H38" s="14">
        <f t="shared" si="17"/>
        <v>0</v>
      </c>
      <c r="I38" s="14">
        <f t="shared" si="17"/>
        <v>0</v>
      </c>
      <c r="J38" s="14">
        <f t="shared" si="17"/>
        <v>0</v>
      </c>
      <c r="K38" s="14">
        <f t="shared" si="17"/>
        <v>0</v>
      </c>
      <c r="L38" s="14">
        <f t="shared" si="17"/>
        <v>0</v>
      </c>
      <c r="M38" s="14">
        <f t="shared" si="17"/>
        <v>0</v>
      </c>
      <c r="N38" s="14" t="str">
        <f t="shared" si="17"/>
        <v xml:space="preserve"> </v>
      </c>
      <c r="O38" s="14" t="str">
        <f t="shared" si="17"/>
        <v xml:space="preserve"> </v>
      </c>
      <c r="P38" s="14" t="str">
        <f t="shared" si="17"/>
        <v xml:space="preserve"> </v>
      </c>
      <c r="Q38" s="14" t="str">
        <f t="shared" si="17"/>
        <v xml:space="preserve"> </v>
      </c>
      <c r="R38" s="11" t="s">
        <v>101</v>
      </c>
    </row>
    <row r="39" spans="1:19" ht="20.25" customHeight="1">
      <c r="A39" s="2" t="s">
        <v>151</v>
      </c>
      <c r="D39" s="76"/>
      <c r="E39" s="76"/>
      <c r="F39" s="14">
        <f>IF(F13=0," ",F38-D38)</f>
        <v>0</v>
      </c>
      <c r="G39" s="14">
        <f t="shared" ref="G39:Q39" si="18">IF(G13=0," ",G38-F38)</f>
        <v>0</v>
      </c>
      <c r="H39" s="14">
        <f t="shared" si="18"/>
        <v>0</v>
      </c>
      <c r="I39" s="14">
        <f t="shared" si="18"/>
        <v>0</v>
      </c>
      <c r="J39" s="14">
        <f t="shared" si="18"/>
        <v>0</v>
      </c>
      <c r="K39" s="14">
        <f t="shared" si="18"/>
        <v>0</v>
      </c>
      <c r="L39" s="14">
        <f t="shared" si="18"/>
        <v>0</v>
      </c>
      <c r="M39" s="14">
        <f t="shared" si="18"/>
        <v>0</v>
      </c>
      <c r="N39" s="14" t="str">
        <f t="shared" si="18"/>
        <v xml:space="preserve"> </v>
      </c>
      <c r="O39" s="14" t="str">
        <f t="shared" si="18"/>
        <v xml:space="preserve"> </v>
      </c>
      <c r="P39" s="14" t="str">
        <f t="shared" si="18"/>
        <v xml:space="preserve"> </v>
      </c>
      <c r="Q39" s="14" t="str">
        <f t="shared" si="18"/>
        <v xml:space="preserve"> </v>
      </c>
      <c r="R39" s="12"/>
    </row>
    <row r="40" spans="1:19" ht="24.75" customHeight="1">
      <c r="A40" s="222" t="s">
        <v>103</v>
      </c>
      <c r="B40" s="222"/>
      <c r="C40" s="222"/>
      <c r="D40" s="226">
        <f>SUM(F40:M40)</f>
        <v>0</v>
      </c>
      <c r="E40" s="226"/>
      <c r="F40" s="16">
        <f t="shared" ref="F40:Q40" si="19">IF(F13=0," ",-F39)</f>
        <v>0</v>
      </c>
      <c r="G40" s="16">
        <f t="shared" si="19"/>
        <v>0</v>
      </c>
      <c r="H40" s="16">
        <f t="shared" si="19"/>
        <v>0</v>
      </c>
      <c r="I40" s="16">
        <f t="shared" si="19"/>
        <v>0</v>
      </c>
      <c r="J40" s="16">
        <f t="shared" si="19"/>
        <v>0</v>
      </c>
      <c r="K40" s="16">
        <f t="shared" si="19"/>
        <v>0</v>
      </c>
      <c r="L40" s="16">
        <f t="shared" si="19"/>
        <v>0</v>
      </c>
      <c r="M40" s="16">
        <f t="shared" si="19"/>
        <v>0</v>
      </c>
      <c r="N40" s="16" t="str">
        <f t="shared" si="19"/>
        <v xml:space="preserve"> </v>
      </c>
      <c r="O40" s="16" t="str">
        <f t="shared" si="19"/>
        <v xml:space="preserve"> </v>
      </c>
      <c r="P40" s="16" t="str">
        <f t="shared" si="19"/>
        <v xml:space="preserve"> </v>
      </c>
      <c r="Q40" s="16" t="str">
        <f t="shared" si="19"/>
        <v xml:space="preserve"> </v>
      </c>
      <c r="R40" s="11"/>
    </row>
    <row r="41" spans="1:19" ht="26.25" customHeight="1" thickBot="1">
      <c r="A41" s="220" t="s">
        <v>38</v>
      </c>
      <c r="B41" s="220"/>
      <c r="C41" s="220"/>
      <c r="D41" s="77"/>
      <c r="E41" s="77"/>
      <c r="F41" s="18">
        <f t="shared" ref="F41:Q41" si="20">IF(F13=0," ",F33-F38)</f>
        <v>-1417264</v>
      </c>
      <c r="G41" s="18">
        <f t="shared" si="20"/>
        <v>67884</v>
      </c>
      <c r="H41" s="18">
        <f t="shared" si="20"/>
        <v>2532520</v>
      </c>
      <c r="I41" s="18">
        <f t="shared" si="20"/>
        <v>-594954</v>
      </c>
      <c r="J41" s="18">
        <f t="shared" si="20"/>
        <v>-3058781</v>
      </c>
      <c r="K41" s="18">
        <f t="shared" si="20"/>
        <v>-3482376</v>
      </c>
      <c r="L41" s="18">
        <f t="shared" si="20"/>
        <v>-2739380</v>
      </c>
      <c r="M41" s="18">
        <f t="shared" si="20"/>
        <v>-221851</v>
      </c>
      <c r="N41" s="18" t="str">
        <f t="shared" si="20"/>
        <v xml:space="preserve"> </v>
      </c>
      <c r="O41" s="18" t="str">
        <f t="shared" si="20"/>
        <v xml:space="preserve"> </v>
      </c>
      <c r="P41" s="18" t="str">
        <f t="shared" si="20"/>
        <v xml:space="preserve"> </v>
      </c>
      <c r="Q41" s="18" t="str">
        <f t="shared" si="20"/>
        <v xml:space="preserve"> </v>
      </c>
      <c r="R41" s="2" t="s">
        <v>41</v>
      </c>
    </row>
    <row r="42" spans="1:19" ht="13.5" thickTop="1">
      <c r="A42" s="106"/>
    </row>
    <row r="43" spans="1:19">
      <c r="E43" s="107"/>
      <c r="F43" s="108"/>
      <c r="Q43" s="14"/>
      <c r="R43" s="10"/>
    </row>
    <row r="44" spans="1:19">
      <c r="E44" s="51"/>
      <c r="F44" s="4"/>
      <c r="H44" s="109"/>
      <c r="I44" s="109"/>
      <c r="J44" s="109"/>
      <c r="K44" s="109"/>
      <c r="Q44" s="40"/>
      <c r="R44" s="10"/>
    </row>
    <row r="45" spans="1:19">
      <c r="E45" s="107"/>
      <c r="F45" s="110"/>
      <c r="H45" s="109"/>
      <c r="I45" s="109"/>
      <c r="J45" s="109"/>
      <c r="K45" s="109"/>
      <c r="Q45" s="40"/>
      <c r="R45" s="10"/>
    </row>
    <row r="46" spans="1:19">
      <c r="H46" s="109"/>
      <c r="I46" s="109"/>
      <c r="J46" s="109"/>
      <c r="K46" s="109"/>
    </row>
    <row r="47" spans="1:19">
      <c r="F47" s="111"/>
      <c r="H47" s="109"/>
      <c r="I47" s="109"/>
      <c r="J47" s="109"/>
      <c r="K47" s="109"/>
    </row>
    <row r="48" spans="1:19">
      <c r="F48" s="111"/>
      <c r="H48" s="109"/>
      <c r="I48" s="109"/>
      <c r="J48" s="109"/>
      <c r="K48" s="109"/>
      <c r="Q48" s="10"/>
    </row>
    <row r="49" spans="8:11">
      <c r="H49" s="109"/>
      <c r="I49" s="109"/>
      <c r="J49" s="109"/>
      <c r="K49" s="109"/>
    </row>
    <row r="50" spans="8:11">
      <c r="H50" s="109"/>
      <c r="I50" s="109"/>
      <c r="J50" s="109"/>
      <c r="K50" s="109"/>
    </row>
    <row r="51" spans="8:11">
      <c r="H51" s="109"/>
      <c r="I51" s="109"/>
      <c r="J51" s="109"/>
      <c r="K51" s="109"/>
    </row>
    <row r="55" spans="8:11" hidden="1"/>
    <row r="56" spans="8:11" hidden="1"/>
    <row r="57" spans="8:11" hidden="1"/>
    <row r="58" spans="8:11" hidden="1"/>
    <row r="59" spans="8:11" hidden="1"/>
    <row r="60" spans="8:11" hidden="1"/>
    <row r="61" spans="8:11" hidden="1"/>
    <row r="62" spans="8:11" hidden="1"/>
    <row r="63" spans="8:11" hidden="1"/>
    <row r="64" spans="8:11"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sheetData>
  <mergeCells count="34">
    <mergeCell ref="A41:C41"/>
    <mergeCell ref="B30:C30"/>
    <mergeCell ref="A40:C40"/>
    <mergeCell ref="D25:E25"/>
    <mergeCell ref="D23:E23"/>
    <mergeCell ref="B31:C31"/>
    <mergeCell ref="B32:C32"/>
    <mergeCell ref="D30:E30"/>
    <mergeCell ref="D28:E28"/>
    <mergeCell ref="D40:E40"/>
    <mergeCell ref="D31:E31"/>
    <mergeCell ref="D26:E26"/>
    <mergeCell ref="D24:E24"/>
    <mergeCell ref="D21:E21"/>
    <mergeCell ref="D29:E29"/>
    <mergeCell ref="D20:E20"/>
    <mergeCell ref="D18:E18"/>
    <mergeCell ref="D19:E19"/>
    <mergeCell ref="D22:E22"/>
    <mergeCell ref="D13:E13"/>
    <mergeCell ref="D17:E17"/>
    <mergeCell ref="D8:E8"/>
    <mergeCell ref="D9:E9"/>
    <mergeCell ref="D10:E10"/>
    <mergeCell ref="D16:E16"/>
    <mergeCell ref="D14:E14"/>
    <mergeCell ref="D15:E15"/>
    <mergeCell ref="A1:Q1"/>
    <mergeCell ref="A2:Q2"/>
    <mergeCell ref="D11:E11"/>
    <mergeCell ref="D12:E12"/>
    <mergeCell ref="D5:E5"/>
    <mergeCell ref="D6:E6"/>
    <mergeCell ref="D7:E7"/>
  </mergeCells>
  <phoneticPr fontId="11" type="noConversion"/>
  <conditionalFormatting sqref="F37:R37">
    <cfRule type="expression" dxfId="0" priority="2" stopIfTrue="1">
      <formula>ABS(F37)&gt;0.1</formula>
    </cfRule>
  </conditionalFormatting>
  <pageMargins left="0.17" right="0.17" top="0.5" bottom="0.5" header="0.5" footer="0.25"/>
  <pageSetup scale="58" orientation="landscape" r:id="rId1"/>
  <headerFooter>
    <oddFooter xml:space="preserve">&amp;L&amp;F - &amp;D&amp;RPage &amp;P of 5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T499"/>
  <sheetViews>
    <sheetView zoomScaleNormal="100" zoomScaleSheetLayoutView="100" workbookViewId="0">
      <pane xSplit="4" ySplit="5" topLeftCell="E6" activePane="bottomRight" state="frozen"/>
      <selection activeCell="D28" sqref="D28:E28"/>
      <selection pane="topRight" activeCell="D28" sqref="D28:E28"/>
      <selection pane="bottomLeft" activeCell="D28" sqref="D28:E28"/>
      <selection pane="bottomRight" sqref="A1:R1"/>
    </sheetView>
  </sheetViews>
  <sheetFormatPr defaultColWidth="11.42578125" defaultRowHeight="12.75" outlineLevelRow="2" outlineLevelCol="1"/>
  <cols>
    <col min="1" max="1" width="5" style="80" customWidth="1"/>
    <col min="2" max="2" width="46.140625" style="4" customWidth="1"/>
    <col min="3" max="3" width="33.5703125" style="4" hidden="1" customWidth="1" outlineLevel="1"/>
    <col min="4" max="4" width="13.42578125" style="4" bestFit="1" customWidth="1" collapsed="1"/>
    <col min="5" max="5" width="13.7109375" style="4" customWidth="1"/>
    <col min="6" max="6" width="12.7109375" style="4" customWidth="1"/>
    <col min="7" max="7" width="12.42578125" style="4" customWidth="1"/>
    <col min="8" max="8" width="12.5703125" style="4" customWidth="1"/>
    <col min="9" max="9" width="12.140625" style="4" customWidth="1"/>
    <col min="10" max="10" width="12.5703125" style="4" customWidth="1"/>
    <col min="11" max="16" width="12.7109375" style="4" customWidth="1"/>
    <col min="17" max="17" width="2.7109375" style="5" hidden="1" customWidth="1" outlineLevel="1"/>
    <col min="18" max="18" width="14.28515625" style="4" hidden="1" customWidth="1" outlineLevel="1"/>
    <col min="19" max="19" width="11.42578125" style="4" collapsed="1"/>
    <col min="20" max="20" width="13.28515625" style="4" bestFit="1" customWidth="1"/>
    <col min="21" max="16384" width="11.42578125" style="4"/>
  </cols>
  <sheetData>
    <row r="1" spans="1:18">
      <c r="A1" s="228" t="s">
        <v>73</v>
      </c>
      <c r="B1" s="228"/>
      <c r="C1" s="228"/>
      <c r="D1" s="228"/>
      <c r="E1" s="228"/>
      <c r="F1" s="228"/>
      <c r="G1" s="228"/>
      <c r="H1" s="228"/>
      <c r="I1" s="228"/>
      <c r="J1" s="228"/>
      <c r="K1" s="228"/>
      <c r="L1" s="228"/>
      <c r="M1" s="228"/>
      <c r="N1" s="228"/>
      <c r="O1" s="228"/>
      <c r="P1" s="228"/>
      <c r="Q1" s="228"/>
      <c r="R1" s="228"/>
    </row>
    <row r="2" spans="1:18">
      <c r="A2" s="228" t="s">
        <v>86</v>
      </c>
      <c r="B2" s="228"/>
      <c r="C2" s="228"/>
      <c r="D2" s="228"/>
      <c r="E2" s="228"/>
      <c r="F2" s="228"/>
      <c r="G2" s="228"/>
      <c r="H2" s="228"/>
      <c r="I2" s="228"/>
      <c r="J2" s="228"/>
      <c r="K2" s="228"/>
      <c r="L2" s="228"/>
      <c r="M2" s="228"/>
      <c r="N2" s="228"/>
      <c r="O2" s="228"/>
      <c r="P2" s="228"/>
      <c r="Q2" s="228"/>
      <c r="R2" s="228"/>
    </row>
    <row r="3" spans="1:18" ht="38.25" customHeight="1">
      <c r="A3" s="4"/>
    </row>
    <row r="4" spans="1:18">
      <c r="A4" s="69" t="s">
        <v>0</v>
      </c>
      <c r="E4" s="112"/>
      <c r="F4" s="112"/>
      <c r="G4" s="112"/>
      <c r="H4" s="112"/>
      <c r="I4" s="112"/>
      <c r="J4" s="112"/>
      <c r="K4" s="112"/>
      <c r="L4" s="112"/>
      <c r="M4" s="112"/>
      <c r="N4" s="112"/>
      <c r="O4" s="112"/>
      <c r="P4" s="112"/>
    </row>
    <row r="5" spans="1:18">
      <c r="A5" s="113" t="s">
        <v>1</v>
      </c>
      <c r="C5" s="4" t="s">
        <v>90</v>
      </c>
      <c r="D5" s="114" t="s">
        <v>9</v>
      </c>
      <c r="E5" s="91">
        <v>43496</v>
      </c>
      <c r="F5" s="91">
        <f t="shared" ref="F5:P5" si="0">EOMONTH(E5,1)</f>
        <v>43524</v>
      </c>
      <c r="G5" s="91">
        <f t="shared" si="0"/>
        <v>43555</v>
      </c>
      <c r="H5" s="91">
        <f t="shared" si="0"/>
        <v>43585</v>
      </c>
      <c r="I5" s="91">
        <f t="shared" si="0"/>
        <v>43616</v>
      </c>
      <c r="J5" s="91">
        <f t="shared" si="0"/>
        <v>43646</v>
      </c>
      <c r="K5" s="91">
        <f t="shared" si="0"/>
        <v>43677</v>
      </c>
      <c r="L5" s="91">
        <f t="shared" si="0"/>
        <v>43708</v>
      </c>
      <c r="M5" s="91">
        <f t="shared" si="0"/>
        <v>43738</v>
      </c>
      <c r="N5" s="91">
        <f t="shared" si="0"/>
        <v>43769</v>
      </c>
      <c r="O5" s="91">
        <f t="shared" si="0"/>
        <v>43799</v>
      </c>
      <c r="P5" s="91">
        <f t="shared" si="0"/>
        <v>43830</v>
      </c>
      <c r="Q5" s="115"/>
      <c r="R5" s="91" t="s">
        <v>67</v>
      </c>
    </row>
    <row r="6" spans="1:18">
      <c r="A6" s="69"/>
      <c r="B6" s="53" t="s">
        <v>12</v>
      </c>
      <c r="C6" s="59"/>
    </row>
    <row r="7" spans="1:18">
      <c r="A7" s="69">
        <f>A6+1</f>
        <v>1</v>
      </c>
      <c r="B7" s="3" t="s">
        <v>102</v>
      </c>
      <c r="C7" s="28"/>
      <c r="D7" s="19">
        <f>SUM(E7:P7)</f>
        <v>30352185</v>
      </c>
      <c r="E7" s="19">
        <f>E23-SUM(E8:E22)</f>
        <v>2854577</v>
      </c>
      <c r="F7" s="19">
        <f t="shared" ref="F7:P7" si="1">F23-SUM(F8:F22)</f>
        <v>3156734</v>
      </c>
      <c r="G7" s="19">
        <f t="shared" si="1"/>
        <v>7001996</v>
      </c>
      <c r="H7" s="19">
        <f t="shared" si="1"/>
        <v>1757522</v>
      </c>
      <c r="I7" s="19">
        <f t="shared" si="1"/>
        <v>2214282</v>
      </c>
      <c r="J7" s="19">
        <f t="shared" si="1"/>
        <v>2424058</v>
      </c>
      <c r="K7" s="19">
        <f t="shared" si="1"/>
        <v>3479617</v>
      </c>
      <c r="L7" s="19">
        <f t="shared" si="1"/>
        <v>7463399</v>
      </c>
      <c r="M7" s="19">
        <f t="shared" si="1"/>
        <v>0</v>
      </c>
      <c r="N7" s="19">
        <f t="shared" si="1"/>
        <v>0</v>
      </c>
      <c r="O7" s="19">
        <f t="shared" si="1"/>
        <v>0</v>
      </c>
      <c r="P7" s="19">
        <f t="shared" si="1"/>
        <v>0</v>
      </c>
      <c r="Q7" s="45"/>
      <c r="R7" s="116">
        <f t="shared" ref="R7:R22" si="2">SUM(E7:P7)</f>
        <v>30352185</v>
      </c>
    </row>
    <row r="8" spans="1:18">
      <c r="A8" s="69">
        <v>2</v>
      </c>
      <c r="B8" s="117" t="s">
        <v>107</v>
      </c>
      <c r="C8" s="118">
        <v>100096</v>
      </c>
      <c r="D8" s="19">
        <f t="shared" ref="D8:D22" si="3">SUM(E8:P8)</f>
        <v>10222280</v>
      </c>
      <c r="E8" s="119">
        <f>'Input Tab'!C19</f>
        <v>1277785</v>
      </c>
      <c r="F8" s="119">
        <f>'Input Tab'!D19</f>
        <v>1277785</v>
      </c>
      <c r="G8" s="119">
        <f>'Input Tab'!E19</f>
        <v>1277785</v>
      </c>
      <c r="H8" s="119">
        <f>'Input Tab'!F19</f>
        <v>1277785</v>
      </c>
      <c r="I8" s="119">
        <f>'Input Tab'!G19</f>
        <v>1277785</v>
      </c>
      <c r="J8" s="119">
        <f>'Input Tab'!H19</f>
        <v>1277785</v>
      </c>
      <c r="K8" s="119">
        <f>'Input Tab'!I19</f>
        <v>1277785</v>
      </c>
      <c r="L8" s="119">
        <f>'Input Tab'!J19</f>
        <v>1277785</v>
      </c>
      <c r="M8" s="119">
        <f>'Input Tab'!K19</f>
        <v>0</v>
      </c>
      <c r="N8" s="119">
        <f>'Input Tab'!L19</f>
        <v>0</v>
      </c>
      <c r="O8" s="119">
        <f>'Input Tab'!M19</f>
        <v>0</v>
      </c>
      <c r="P8" s="119">
        <f>'Input Tab'!N19</f>
        <v>0</v>
      </c>
      <c r="Q8" s="45"/>
      <c r="R8" s="116">
        <f t="shared" si="2"/>
        <v>10222280</v>
      </c>
    </row>
    <row r="9" spans="1:18">
      <c r="A9" s="69">
        <v>3</v>
      </c>
      <c r="B9" s="117" t="s">
        <v>108</v>
      </c>
      <c r="C9" s="118">
        <v>107240</v>
      </c>
      <c r="D9" s="19">
        <f t="shared" si="3"/>
        <v>588299</v>
      </c>
      <c r="E9" s="119">
        <f>'Input Tab'!C20</f>
        <v>63699</v>
      </c>
      <c r="F9" s="119">
        <f>'Input Tab'!D20</f>
        <v>55709</v>
      </c>
      <c r="G9" s="119">
        <f>'Input Tab'!E20</f>
        <v>57590</v>
      </c>
      <c r="H9" s="119">
        <f>'Input Tab'!F20</f>
        <v>39998</v>
      </c>
      <c r="I9" s="119">
        <f>'Input Tab'!G20</f>
        <v>67634</v>
      </c>
      <c r="J9" s="119">
        <f>'Input Tab'!H20</f>
        <v>57526</v>
      </c>
      <c r="K9" s="119">
        <f>'Input Tab'!I20</f>
        <v>121244</v>
      </c>
      <c r="L9" s="119">
        <f>'Input Tab'!J20</f>
        <v>124899</v>
      </c>
      <c r="M9" s="119">
        <f>'Input Tab'!K20</f>
        <v>0</v>
      </c>
      <c r="N9" s="119">
        <f>'Input Tab'!L20</f>
        <v>0</v>
      </c>
      <c r="O9" s="119">
        <f>'Input Tab'!M20</f>
        <v>0</v>
      </c>
      <c r="P9" s="119">
        <f>'Input Tab'!N20</f>
        <v>0</v>
      </c>
      <c r="Q9" s="45"/>
      <c r="R9" s="116">
        <f>SUM(E9:P9)</f>
        <v>588299</v>
      </c>
    </row>
    <row r="10" spans="1:18">
      <c r="A10" s="69">
        <v>4</v>
      </c>
      <c r="B10" s="3" t="s">
        <v>111</v>
      </c>
      <c r="C10" s="28">
        <v>100131</v>
      </c>
      <c r="D10" s="19">
        <f t="shared" si="3"/>
        <v>1223584</v>
      </c>
      <c r="E10" s="119">
        <f>'Input Tab'!C21</f>
        <v>152948</v>
      </c>
      <c r="F10" s="119">
        <f>'Input Tab'!D21</f>
        <v>152948</v>
      </c>
      <c r="G10" s="119">
        <f>'Input Tab'!E21</f>
        <v>152948</v>
      </c>
      <c r="H10" s="119">
        <f>'Input Tab'!F21</f>
        <v>152948</v>
      </c>
      <c r="I10" s="119">
        <f>'Input Tab'!G21</f>
        <v>152948</v>
      </c>
      <c r="J10" s="119">
        <f>'Input Tab'!H21</f>
        <v>152948</v>
      </c>
      <c r="K10" s="119">
        <f>'Input Tab'!I21</f>
        <v>152948</v>
      </c>
      <c r="L10" s="119">
        <f>'Input Tab'!J21</f>
        <v>152948</v>
      </c>
      <c r="M10" s="119">
        <f>'Input Tab'!K21</f>
        <v>0</v>
      </c>
      <c r="N10" s="119">
        <f>'Input Tab'!L21</f>
        <v>0</v>
      </c>
      <c r="O10" s="119">
        <f>'Input Tab'!M21</f>
        <v>0</v>
      </c>
      <c r="P10" s="119">
        <f>'Input Tab'!N21</f>
        <v>0</v>
      </c>
      <c r="Q10" s="45"/>
      <c r="R10" s="116">
        <f t="shared" si="2"/>
        <v>1223584</v>
      </c>
    </row>
    <row r="11" spans="1:18" ht="13.5" customHeight="1">
      <c r="A11" s="69">
        <v>5</v>
      </c>
      <c r="B11" s="3" t="s">
        <v>109</v>
      </c>
      <c r="C11" s="28">
        <v>100085</v>
      </c>
      <c r="D11" s="19">
        <f t="shared" si="3"/>
        <v>6331764</v>
      </c>
      <c r="E11" s="120">
        <f>'Input Tab'!C22</f>
        <v>776466</v>
      </c>
      <c r="F11" s="120">
        <f>'Input Tab'!D22</f>
        <v>776466</v>
      </c>
      <c r="G11" s="120">
        <f>'Input Tab'!E22</f>
        <v>776466</v>
      </c>
      <c r="H11" s="120">
        <f>'Input Tab'!F22</f>
        <v>896502</v>
      </c>
      <c r="I11" s="120">
        <f>'Input Tab'!G22</f>
        <v>776466</v>
      </c>
      <c r="J11" s="120">
        <f>'Input Tab'!H22</f>
        <v>776466</v>
      </c>
      <c r="K11" s="120">
        <f>'Input Tab'!I22</f>
        <v>776466</v>
      </c>
      <c r="L11" s="120">
        <f>'Input Tab'!J22</f>
        <v>776466</v>
      </c>
      <c r="M11" s="120">
        <f>'Input Tab'!K22</f>
        <v>0</v>
      </c>
      <c r="N11" s="120">
        <f>'Input Tab'!L22</f>
        <v>0</v>
      </c>
      <c r="O11" s="120">
        <f>'Input Tab'!M22</f>
        <v>0</v>
      </c>
      <c r="P11" s="120">
        <f>'Input Tab'!N22</f>
        <v>0</v>
      </c>
      <c r="Q11" s="45"/>
      <c r="R11" s="116">
        <f t="shared" si="2"/>
        <v>6331764</v>
      </c>
    </row>
    <row r="12" spans="1:18" ht="14.25">
      <c r="A12" s="69">
        <f>A11+1</f>
        <v>6</v>
      </c>
      <c r="B12" s="3" t="s">
        <v>110</v>
      </c>
      <c r="C12" s="80" t="s">
        <v>91</v>
      </c>
      <c r="D12" s="19">
        <f t="shared" si="3"/>
        <v>7910918</v>
      </c>
      <c r="E12" s="120">
        <f>'Input Tab'!C23</f>
        <v>2751195</v>
      </c>
      <c r="F12" s="120">
        <f>'Input Tab'!D23</f>
        <v>2485973</v>
      </c>
      <c r="G12" s="120">
        <f>'Input Tab'!E23</f>
        <v>1358266</v>
      </c>
      <c r="H12" s="120">
        <f>'Input Tab'!F23</f>
        <v>1315484</v>
      </c>
      <c r="I12" s="120">
        <f>'Input Tab'!G23</f>
        <v>0</v>
      </c>
      <c r="J12" s="120">
        <f>'Input Tab'!H23</f>
        <v>0</v>
      </c>
      <c r="K12" s="120">
        <f>'Input Tab'!I23</f>
        <v>0</v>
      </c>
      <c r="L12" s="120">
        <f>'Input Tab'!J23</f>
        <v>0</v>
      </c>
      <c r="M12" s="119">
        <f>'Input Tab'!K23</f>
        <v>0</v>
      </c>
      <c r="N12" s="119">
        <f>'Input Tab'!L23</f>
        <v>0</v>
      </c>
      <c r="O12" s="120">
        <f>'Input Tab'!M23</f>
        <v>0</v>
      </c>
      <c r="P12" s="120">
        <f>'Input Tab'!N23</f>
        <v>0</v>
      </c>
      <c r="Q12" s="45"/>
      <c r="R12" s="116">
        <f t="shared" si="2"/>
        <v>7910918</v>
      </c>
    </row>
    <row r="13" spans="1:18">
      <c r="A13" s="69">
        <f t="shared" ref="A13:A23" si="4">A12+1</f>
        <v>7</v>
      </c>
      <c r="B13" s="4" t="s">
        <v>104</v>
      </c>
      <c r="C13" s="80">
        <v>100137</v>
      </c>
      <c r="D13" s="19">
        <f t="shared" si="3"/>
        <v>7103</v>
      </c>
      <c r="E13" s="120">
        <f>'Input Tab'!C24</f>
        <v>973</v>
      </c>
      <c r="F13" s="120">
        <f>'Input Tab'!D24</f>
        <v>1128</v>
      </c>
      <c r="G13" s="120">
        <f>'Input Tab'!E24</f>
        <v>1326</v>
      </c>
      <c r="H13" s="120">
        <f>'Input Tab'!F24</f>
        <v>1015</v>
      </c>
      <c r="I13" s="120">
        <f>'Input Tab'!G24</f>
        <v>700</v>
      </c>
      <c r="J13" s="120">
        <f>'Input Tab'!H24</f>
        <v>633</v>
      </c>
      <c r="K13" s="120">
        <f>'Input Tab'!I24</f>
        <v>616</v>
      </c>
      <c r="L13" s="120">
        <f>'Input Tab'!J24</f>
        <v>712</v>
      </c>
      <c r="M13" s="120">
        <f>'Input Tab'!K24</f>
        <v>0</v>
      </c>
      <c r="N13" s="120">
        <f>'Input Tab'!L24</f>
        <v>0</v>
      </c>
      <c r="O13" s="120">
        <f>'Input Tab'!M24</f>
        <v>0</v>
      </c>
      <c r="P13" s="120">
        <f>'Input Tab'!N24</f>
        <v>0</v>
      </c>
      <c r="Q13" s="45"/>
      <c r="R13" s="116">
        <f t="shared" si="2"/>
        <v>7103</v>
      </c>
    </row>
    <row r="14" spans="1:18">
      <c r="A14" s="69">
        <f t="shared" si="4"/>
        <v>8</v>
      </c>
      <c r="B14" s="4" t="s">
        <v>13</v>
      </c>
      <c r="C14" s="28" t="s">
        <v>148</v>
      </c>
      <c r="D14" s="19">
        <f t="shared" si="3"/>
        <v>1054457</v>
      </c>
      <c r="E14" s="120">
        <f>'Input Tab'!C25</f>
        <v>137301</v>
      </c>
      <c r="F14" s="120">
        <f>'Input Tab'!D25</f>
        <v>160032</v>
      </c>
      <c r="G14" s="120">
        <f>'Input Tab'!E25</f>
        <v>130122</v>
      </c>
      <c r="H14" s="120">
        <f>'Input Tab'!F25</f>
        <v>164292</v>
      </c>
      <c r="I14" s="120">
        <f>'Input Tab'!G25</f>
        <v>134892</v>
      </c>
      <c r="J14" s="120">
        <f>'Input Tab'!H25</f>
        <v>155759</v>
      </c>
      <c r="K14" s="120">
        <f>'Input Tab'!I25</f>
        <v>115371</v>
      </c>
      <c r="L14" s="120">
        <f>'Input Tab'!J25</f>
        <v>56688</v>
      </c>
      <c r="M14" s="120">
        <f>'Input Tab'!K25</f>
        <v>0</v>
      </c>
      <c r="N14" s="120">
        <f>'Input Tab'!L25</f>
        <v>0</v>
      </c>
      <c r="O14" s="120">
        <f>'Input Tab'!M25</f>
        <v>0</v>
      </c>
      <c r="P14" s="120">
        <f>'Input Tab'!N25</f>
        <v>0</v>
      </c>
      <c r="Q14" s="45"/>
      <c r="R14" s="116">
        <f t="shared" si="2"/>
        <v>1054457</v>
      </c>
    </row>
    <row r="15" spans="1:18">
      <c r="A15" s="69">
        <f t="shared" si="4"/>
        <v>9</v>
      </c>
      <c r="B15" s="3" t="s">
        <v>40</v>
      </c>
      <c r="C15" s="28">
        <v>185895</v>
      </c>
      <c r="D15" s="19">
        <f t="shared" si="3"/>
        <v>1239366</v>
      </c>
      <c r="E15" s="120">
        <f>'Input Tab'!C35</f>
        <v>175035</v>
      </c>
      <c r="F15" s="120">
        <f>'Input Tab'!D35</f>
        <v>112639</v>
      </c>
      <c r="G15" s="120">
        <f>'Input Tab'!E35</f>
        <v>116166</v>
      </c>
      <c r="H15" s="120">
        <f>'Input Tab'!F35</f>
        <v>88987</v>
      </c>
      <c r="I15" s="120">
        <f>'Input Tab'!G35</f>
        <v>158545</v>
      </c>
      <c r="J15" s="120">
        <f>'Input Tab'!H35</f>
        <v>160694</v>
      </c>
      <c r="K15" s="120">
        <f>'Input Tab'!I35</f>
        <v>223005</v>
      </c>
      <c r="L15" s="120">
        <f>'Input Tab'!J35</f>
        <v>204295</v>
      </c>
      <c r="M15" s="120">
        <f>'Input Tab'!K35</f>
        <v>0</v>
      </c>
      <c r="N15" s="120">
        <f>'Input Tab'!L35</f>
        <v>0</v>
      </c>
      <c r="O15" s="120">
        <f>'Input Tab'!M35</f>
        <v>0</v>
      </c>
      <c r="P15" s="120">
        <f>'Input Tab'!N35</f>
        <v>0</v>
      </c>
      <c r="Q15" s="45"/>
      <c r="R15" s="116">
        <f t="shared" si="2"/>
        <v>1239366</v>
      </c>
    </row>
    <row r="16" spans="1:18" ht="12.75" customHeight="1">
      <c r="A16" s="69">
        <f t="shared" si="4"/>
        <v>10</v>
      </c>
      <c r="B16" s="4" t="s">
        <v>89</v>
      </c>
      <c r="C16" s="28">
        <v>186298</v>
      </c>
      <c r="D16" s="19">
        <f t="shared" si="3"/>
        <v>1654640</v>
      </c>
      <c r="E16" s="120">
        <f>'Input Tab'!C36</f>
        <v>278635</v>
      </c>
      <c r="F16" s="120">
        <f>'Input Tab'!D36</f>
        <v>269107</v>
      </c>
      <c r="G16" s="120">
        <f>'Input Tab'!E36</f>
        <v>250887</v>
      </c>
      <c r="H16" s="120">
        <f>'Input Tab'!F36</f>
        <v>301774</v>
      </c>
      <c r="I16" s="120">
        <f>'Input Tab'!G36</f>
        <v>332525</v>
      </c>
      <c r="J16" s="120">
        <f>'Input Tab'!H36</f>
        <v>204948</v>
      </c>
      <c r="K16" s="120">
        <f>'Input Tab'!I36</f>
        <v>14118</v>
      </c>
      <c r="L16" s="120">
        <f>'Input Tab'!J36</f>
        <v>2646</v>
      </c>
      <c r="M16" s="120">
        <f>'Input Tab'!K36</f>
        <v>0</v>
      </c>
      <c r="N16" s="120">
        <f>'Input Tab'!L36</f>
        <v>0</v>
      </c>
      <c r="O16" s="120">
        <f>'Input Tab'!M36</f>
        <v>0</v>
      </c>
      <c r="P16" s="120">
        <f>'Input Tab'!N36</f>
        <v>0</v>
      </c>
      <c r="Q16" s="45"/>
      <c r="R16" s="116">
        <f t="shared" si="2"/>
        <v>1654640</v>
      </c>
    </row>
    <row r="17" spans="1:20">
      <c r="A17" s="69">
        <f>A16+1</f>
        <v>11</v>
      </c>
      <c r="B17" s="3" t="s">
        <v>117</v>
      </c>
      <c r="C17" s="28">
        <v>223063</v>
      </c>
      <c r="D17" s="19">
        <f t="shared" si="3"/>
        <v>3505108</v>
      </c>
      <c r="E17" s="120">
        <f>'Input Tab'!C37</f>
        <v>584639</v>
      </c>
      <c r="F17" s="120">
        <f>'Input Tab'!D37</f>
        <v>427257</v>
      </c>
      <c r="G17" s="120">
        <f>'Input Tab'!E37</f>
        <v>466708</v>
      </c>
      <c r="H17" s="120">
        <f>'Input Tab'!F37</f>
        <v>424403</v>
      </c>
      <c r="I17" s="120">
        <f>'Input Tab'!G37</f>
        <v>265006</v>
      </c>
      <c r="J17" s="120">
        <f>'Input Tab'!H37</f>
        <v>390567</v>
      </c>
      <c r="K17" s="120">
        <f>'Input Tab'!I37</f>
        <v>482286</v>
      </c>
      <c r="L17" s="120">
        <f>'Input Tab'!J37</f>
        <v>464242</v>
      </c>
      <c r="M17" s="120">
        <f>'Input Tab'!K37</f>
        <v>0</v>
      </c>
      <c r="N17" s="120">
        <f>'Input Tab'!L37</f>
        <v>0</v>
      </c>
      <c r="O17" s="120">
        <f>'Input Tab'!M37</f>
        <v>0</v>
      </c>
      <c r="P17" s="120">
        <f>'Input Tab'!N37</f>
        <v>0</v>
      </c>
      <c r="Q17" s="45"/>
      <c r="R17" s="116">
        <f t="shared" si="2"/>
        <v>3505108</v>
      </c>
    </row>
    <row r="18" spans="1:20">
      <c r="A18" s="69">
        <f>A17+1</f>
        <v>12</v>
      </c>
      <c r="B18" s="87" t="s">
        <v>181</v>
      </c>
      <c r="C18" s="28">
        <v>102475</v>
      </c>
      <c r="D18" s="19">
        <f t="shared" si="3"/>
        <v>9444</v>
      </c>
      <c r="E18" s="119">
        <f>'Input Tab'!C38</f>
        <v>1297</v>
      </c>
      <c r="F18" s="119">
        <f>'Input Tab'!D38</f>
        <v>1364</v>
      </c>
      <c r="G18" s="119">
        <f>'Input Tab'!E38</f>
        <v>1397</v>
      </c>
      <c r="H18" s="119">
        <f>'Input Tab'!F38</f>
        <v>1286</v>
      </c>
      <c r="I18" s="119">
        <f>'Input Tab'!G38</f>
        <v>955</v>
      </c>
      <c r="J18" s="119">
        <f>'Input Tab'!H38</f>
        <v>1187</v>
      </c>
      <c r="K18" s="119">
        <f>'Input Tab'!I38</f>
        <v>1003</v>
      </c>
      <c r="L18" s="119">
        <f>'Input Tab'!J38</f>
        <v>955</v>
      </c>
      <c r="M18" s="119">
        <f>'Input Tab'!K38</f>
        <v>0</v>
      </c>
      <c r="N18" s="119">
        <f>'Input Tab'!L38</f>
        <v>0</v>
      </c>
      <c r="O18" s="119">
        <f>'Input Tab'!M38</f>
        <v>0</v>
      </c>
      <c r="P18" s="119">
        <f>'Input Tab'!N38</f>
        <v>0</v>
      </c>
      <c r="Q18" s="45"/>
      <c r="R18" s="116">
        <f t="shared" si="2"/>
        <v>9444</v>
      </c>
    </row>
    <row r="19" spans="1:20">
      <c r="A19" s="69">
        <f>A18+1</f>
        <v>13</v>
      </c>
      <c r="B19" s="3" t="s">
        <v>105</v>
      </c>
      <c r="C19" s="28" t="s">
        <v>106</v>
      </c>
      <c r="D19" s="19">
        <f t="shared" si="3"/>
        <v>18535870</v>
      </c>
      <c r="E19" s="119">
        <f>'Input Tab'!C39</f>
        <v>2434351</v>
      </c>
      <c r="F19" s="119">
        <f>'Input Tab'!D39</f>
        <v>2347256</v>
      </c>
      <c r="G19" s="119">
        <f>'Input Tab'!E39</f>
        <v>2433715</v>
      </c>
      <c r="H19" s="119">
        <f>'Input Tab'!F39</f>
        <v>2283549</v>
      </c>
      <c r="I19" s="119">
        <f>'Input Tab'!G39</f>
        <v>2161515</v>
      </c>
      <c r="J19" s="119">
        <f>'Input Tab'!H39</f>
        <v>2100743</v>
      </c>
      <c r="K19" s="119">
        <f>'Input Tab'!I39</f>
        <v>2362015</v>
      </c>
      <c r="L19" s="119">
        <f>'Input Tab'!J39</f>
        <v>2412726</v>
      </c>
      <c r="M19" s="119">
        <f>'Input Tab'!K39</f>
        <v>0</v>
      </c>
      <c r="N19" s="119">
        <f>'Input Tab'!L39</f>
        <v>0</v>
      </c>
      <c r="O19" s="119">
        <f>'Input Tab'!M39</f>
        <v>0</v>
      </c>
      <c r="P19" s="119">
        <f>'Input Tab'!N39</f>
        <v>0</v>
      </c>
      <c r="Q19" s="45"/>
      <c r="R19" s="116">
        <f t="shared" si="2"/>
        <v>18535870</v>
      </c>
    </row>
    <row r="20" spans="1:20">
      <c r="A20" s="69">
        <f>A19+1</f>
        <v>14</v>
      </c>
      <c r="B20" s="3" t="s">
        <v>116</v>
      </c>
      <c r="C20" s="28">
        <v>181462</v>
      </c>
      <c r="D20" s="19">
        <f t="shared" si="3"/>
        <v>12293628</v>
      </c>
      <c r="E20" s="119">
        <f>'Input Tab'!C40</f>
        <v>1921037</v>
      </c>
      <c r="F20" s="119">
        <f>'Input Tab'!D40</f>
        <v>1708936</v>
      </c>
      <c r="G20" s="119">
        <f>'Input Tab'!E40</f>
        <v>1266884</v>
      </c>
      <c r="H20" s="119">
        <f>'Input Tab'!F40</f>
        <v>2031088</v>
      </c>
      <c r="I20" s="119">
        <f>'Input Tab'!G40</f>
        <v>1632368</v>
      </c>
      <c r="J20" s="119">
        <f>'Input Tab'!H40</f>
        <v>1626459</v>
      </c>
      <c r="K20" s="119">
        <f>'Input Tab'!I40</f>
        <v>1146307</v>
      </c>
      <c r="L20" s="119">
        <f>'Input Tab'!J40</f>
        <v>960549</v>
      </c>
      <c r="M20" s="119">
        <f>'Input Tab'!K40</f>
        <v>0</v>
      </c>
      <c r="N20" s="119">
        <f>'Input Tab'!L40</f>
        <v>0</v>
      </c>
      <c r="O20" s="119">
        <f>'Input Tab'!M40</f>
        <v>0</v>
      </c>
      <c r="P20" s="119">
        <f>'Input Tab'!N40</f>
        <v>0</v>
      </c>
      <c r="Q20" s="45"/>
      <c r="R20" s="116">
        <f t="shared" si="2"/>
        <v>12293628</v>
      </c>
    </row>
    <row r="21" spans="1:20">
      <c r="A21" s="69">
        <f>A20+1</f>
        <v>15</v>
      </c>
      <c r="B21" s="4" t="s">
        <v>28</v>
      </c>
      <c r="C21" s="80"/>
      <c r="D21" s="19">
        <f t="shared" si="3"/>
        <v>1686377</v>
      </c>
      <c r="E21" s="21">
        <f>E35</f>
        <v>214294</v>
      </c>
      <c r="F21" s="21">
        <f>F35</f>
        <v>255268</v>
      </c>
      <c r="G21" s="21">
        <f t="shared" ref="G21:P21" si="5">G35</f>
        <v>255076</v>
      </c>
      <c r="H21" s="21">
        <f t="shared" si="5"/>
        <v>175722</v>
      </c>
      <c r="I21" s="21">
        <f t="shared" si="5"/>
        <v>184130</v>
      </c>
      <c r="J21" s="21">
        <f t="shared" si="5"/>
        <v>188967</v>
      </c>
      <c r="K21" s="21">
        <f t="shared" si="5"/>
        <v>204764</v>
      </c>
      <c r="L21" s="21">
        <f t="shared" si="5"/>
        <v>208156</v>
      </c>
      <c r="M21" s="21">
        <f>M35</f>
        <v>0</v>
      </c>
      <c r="N21" s="21">
        <f>N35</f>
        <v>0</v>
      </c>
      <c r="O21" s="21">
        <f t="shared" si="5"/>
        <v>0</v>
      </c>
      <c r="P21" s="21">
        <f t="shared" si="5"/>
        <v>0</v>
      </c>
      <c r="Q21" s="21"/>
      <c r="R21" s="116">
        <f t="shared" si="2"/>
        <v>1686377</v>
      </c>
    </row>
    <row r="22" spans="1:20">
      <c r="A22" s="69">
        <f t="shared" si="4"/>
        <v>16</v>
      </c>
      <c r="B22" s="87" t="s">
        <v>14</v>
      </c>
      <c r="C22" s="121"/>
      <c r="D22" s="19">
        <f t="shared" si="3"/>
        <v>-1636825</v>
      </c>
      <c r="E22" s="22">
        <f>E33</f>
        <v>-336895</v>
      </c>
      <c r="F22" s="22">
        <f>F33</f>
        <v>-717182</v>
      </c>
      <c r="G22" s="22">
        <f t="shared" ref="G22:P22" si="6">G33</f>
        <v>-527151</v>
      </c>
      <c r="H22" s="22">
        <f t="shared" si="6"/>
        <v>-257975</v>
      </c>
      <c r="I22" s="22">
        <f t="shared" si="6"/>
        <v>22739</v>
      </c>
      <c r="J22" s="22">
        <f t="shared" si="6"/>
        <v>1248303</v>
      </c>
      <c r="K22" s="22">
        <f t="shared" si="6"/>
        <v>-480458</v>
      </c>
      <c r="L22" s="22">
        <f t="shared" si="6"/>
        <v>-588206</v>
      </c>
      <c r="M22" s="22">
        <f t="shared" si="6"/>
        <v>0</v>
      </c>
      <c r="N22" s="22">
        <f>N33</f>
        <v>0</v>
      </c>
      <c r="O22" s="22">
        <f t="shared" si="6"/>
        <v>0</v>
      </c>
      <c r="P22" s="22">
        <f t="shared" si="6"/>
        <v>0</v>
      </c>
      <c r="Q22" s="22"/>
      <c r="R22" s="116">
        <f t="shared" si="2"/>
        <v>-1636825</v>
      </c>
    </row>
    <row r="23" spans="1:20" s="26" customFormat="1" ht="13.5" thickBot="1">
      <c r="A23" s="122">
        <f t="shared" si="4"/>
        <v>17</v>
      </c>
      <c r="B23" s="54" t="s">
        <v>80</v>
      </c>
      <c r="C23" s="54"/>
      <c r="D23" s="34">
        <f>SUM(E23:P23)</f>
        <v>94978198</v>
      </c>
      <c r="E23" s="123">
        <f>E38</f>
        <v>13287337</v>
      </c>
      <c r="F23" s="123">
        <f t="shared" ref="F23:P23" si="7">F38</f>
        <v>12471420</v>
      </c>
      <c r="G23" s="123">
        <f>G38</f>
        <v>15020181</v>
      </c>
      <c r="H23" s="123">
        <f t="shared" si="7"/>
        <v>10654380</v>
      </c>
      <c r="I23" s="123">
        <f t="shared" si="7"/>
        <v>9382490</v>
      </c>
      <c r="J23" s="123">
        <f t="shared" si="7"/>
        <v>10767043</v>
      </c>
      <c r="K23" s="123">
        <f t="shared" si="7"/>
        <v>9877087</v>
      </c>
      <c r="L23" s="123">
        <f t="shared" si="7"/>
        <v>13518260</v>
      </c>
      <c r="M23" s="123">
        <f>M38</f>
        <v>0</v>
      </c>
      <c r="N23" s="123">
        <f>N38</f>
        <v>0</v>
      </c>
      <c r="O23" s="123">
        <f t="shared" si="7"/>
        <v>0</v>
      </c>
      <c r="P23" s="123">
        <f t="shared" si="7"/>
        <v>0</v>
      </c>
      <c r="Q23" s="23"/>
      <c r="R23" s="124">
        <f>SUM(R7:R21)</f>
        <v>96615023</v>
      </c>
    </row>
    <row r="24" spans="1:20" ht="13.5" thickTop="1">
      <c r="A24" s="69"/>
      <c r="E24" s="33" t="s">
        <v>24</v>
      </c>
      <c r="F24" s="125" t="s">
        <v>24</v>
      </c>
      <c r="G24" s="125"/>
      <c r="H24" s="125"/>
      <c r="I24" s="125"/>
      <c r="J24" s="125"/>
      <c r="K24" s="125"/>
      <c r="L24" s="125"/>
      <c r="M24" s="125"/>
      <c r="N24" s="125"/>
      <c r="O24" s="125"/>
      <c r="P24" s="125"/>
    </row>
    <row r="25" spans="1:20">
      <c r="A25" s="69"/>
      <c r="B25" s="3" t="s">
        <v>81</v>
      </c>
      <c r="C25" s="3"/>
      <c r="E25" s="125"/>
      <c r="F25" s="125"/>
      <c r="G25" s="125"/>
      <c r="H25" s="125"/>
      <c r="I25" s="125"/>
      <c r="J25" s="125"/>
      <c r="K25" s="125"/>
      <c r="L25" s="125"/>
      <c r="M25" s="125"/>
      <c r="N25" s="125"/>
      <c r="O25" s="125"/>
      <c r="P25" s="125"/>
      <c r="T25" s="126"/>
    </row>
    <row r="26" spans="1:20" outlineLevel="1">
      <c r="A26" s="69"/>
      <c r="B26" s="50" t="s">
        <v>12</v>
      </c>
      <c r="C26" s="50"/>
      <c r="E26" s="125"/>
      <c r="F26" s="125"/>
      <c r="G26" s="125"/>
      <c r="H26" s="125"/>
      <c r="I26" s="125"/>
      <c r="J26" s="125"/>
      <c r="K26" s="125"/>
      <c r="L26" s="125"/>
      <c r="M26" s="125"/>
      <c r="N26" s="125"/>
      <c r="O26" s="125"/>
      <c r="P26" s="125"/>
    </row>
    <row r="27" spans="1:20" outlineLevel="1">
      <c r="A27" s="69"/>
      <c r="B27" s="4">
        <v>555000</v>
      </c>
      <c r="D27" s="125">
        <f>SUM(E27:P27)</f>
        <v>99723398</v>
      </c>
      <c r="E27" s="14">
        <f>_xll.Get_Balance(E$85,"PTD","USD","Total","A","","001","555000","ED","AN","DL")</f>
        <v>12768901</v>
      </c>
      <c r="F27" s="14">
        <f>_xll.Get_Balance(F$85,"PTD","USD","Total","A","","001","555000","ED","AN","DL")</f>
        <v>21966758</v>
      </c>
      <c r="G27" s="14">
        <f>_xll.Get_Balance(G$85,"PTD","USD","Total","A","","001","555000","ED","AN","DL")</f>
        <v>19455012</v>
      </c>
      <c r="H27" s="14">
        <f>_xll.Get_Balance(H$85,"PTD","USD","Total","A","","001","555000","ED","AN","DL")</f>
        <v>10031182</v>
      </c>
      <c r="I27" s="14">
        <f>_xll.Get_Balance(I$85,"PTD","USD","Total","A","","001","555000","ED","AN","DL")</f>
        <v>8212223</v>
      </c>
      <c r="J27" s="14">
        <f>_xll.Get_Balance(J$85,"PTD","USD","Total","A","","001","555000","ED","AN","DL")</f>
        <v>8486038</v>
      </c>
      <c r="K27" s="14">
        <f>_xll.Get_Balance(K$85,"PTD","USD","Total","A","","001","555000","ED","AN","DL")</f>
        <v>8799683</v>
      </c>
      <c r="L27" s="14">
        <f>_xll.Get_Balance(L$85,"PTD","USD","Total","A","","001","555000","ED","AN","DL")</f>
        <v>10003601</v>
      </c>
      <c r="M27" s="14">
        <f>_xll.Get_Balance(M$85,"PTD","USD","Total","A","","001","555000","ED","AN","DL")</f>
        <v>0</v>
      </c>
      <c r="N27" s="14">
        <f>_xll.Get_Balance(N$85,"PTD","USD","Total","A","","001","555000","ED","AN","DL")</f>
        <v>0</v>
      </c>
      <c r="O27" s="14">
        <f>_xll.Get_Balance(O$85,"PTD","USD","Total","A","","001","555000","ED","AN","DL")</f>
        <v>0</v>
      </c>
      <c r="P27" s="14">
        <f>_xll.Get_Balance(P$85,"PTD","USD","Total","A","","001","555000","ED","AN","DL")</f>
        <v>0</v>
      </c>
      <c r="Q27" s="45"/>
      <c r="R27" s="116">
        <f t="shared" ref="R27:R37" si="8">SUM(E27:P27)</f>
        <v>99723398</v>
      </c>
    </row>
    <row r="28" spans="1:20" outlineLevel="1">
      <c r="A28" s="69"/>
      <c r="B28" s="4">
        <v>555030</v>
      </c>
      <c r="D28" s="125">
        <f>SUM(E28:P28)</f>
        <v>0</v>
      </c>
      <c r="E28" s="14">
        <f>_xll.Get_Balance(E$85,"PTD","USD","Total","A","","001","555030","ED","AN","DL")</f>
        <v>0</v>
      </c>
      <c r="F28" s="14">
        <f>_xll.Get_Balance(F$85,"PTD","USD","Total","A","","001","555030","ED","AN","DL")</f>
        <v>0</v>
      </c>
      <c r="G28" s="14">
        <f>_xll.Get_Balance(G$85,"PTD","USD","Total","A","","001","555030","ED","AN","DL")</f>
        <v>0</v>
      </c>
      <c r="H28" s="14">
        <f>_xll.Get_Balance(H$85,"PTD","USD","Total","A","","001","555030","ED","AN","DL")</f>
        <v>0</v>
      </c>
      <c r="I28" s="14">
        <f>_xll.Get_Balance(I$85,"PTD","USD","Total","A","","001","555030","ED","AN","DL")</f>
        <v>0</v>
      </c>
      <c r="J28" s="14">
        <f>_xll.Get_Balance(J$85,"PTD","USD","Total","A","","001","555030","ED","AN","DL")</f>
        <v>0</v>
      </c>
      <c r="K28" s="14">
        <f>_xll.Get_Balance(K$85,"PTD","USD","Total","A","","001","555030","ED","AN","DL")</f>
        <v>0</v>
      </c>
      <c r="L28" s="14">
        <f>_xll.Get_Balance(L$85,"PTD","USD","Total","A","","001","555030","ED","AN","DL")</f>
        <v>0</v>
      </c>
      <c r="M28" s="14">
        <f>_xll.Get_Balance(M$85,"PTD","USD","Total","A","","001","555030","ED","AN","DL")</f>
        <v>0</v>
      </c>
      <c r="N28" s="14">
        <f>_xll.Get_Balance(N$85,"PTD","USD","Total","A","","001","555030","ED","AN","DL")</f>
        <v>0</v>
      </c>
      <c r="O28" s="14">
        <f>_xll.Get_Balance(O$85,"PTD","USD","Total","A","","001","555030","ED","AN","DL")</f>
        <v>0</v>
      </c>
      <c r="P28" s="14">
        <f>_xll.Get_Balance(P$85,"PTD","USD","Total","A","","001","555030","ED","AN","DL")</f>
        <v>0</v>
      </c>
      <c r="Q28" s="45"/>
      <c r="R28" s="116"/>
    </row>
    <row r="29" spans="1:20" outlineLevel="1">
      <c r="A29" s="69"/>
      <c r="B29" s="4">
        <v>555100</v>
      </c>
      <c r="C29" s="4" t="s">
        <v>92</v>
      </c>
      <c r="D29" s="125">
        <f t="shared" ref="D29:D37" si="9">SUM(E29:P29)</f>
        <v>-9518414</v>
      </c>
      <c r="E29" s="14">
        <f>_xll.Get_Balance(E$85,"PTD","USD","Total","A","","001","555100","ED","AN","DL")</f>
        <v>-144322</v>
      </c>
      <c r="F29" s="14">
        <f>_xll.Get_Balance(F$85,"PTD","USD","Total","A","","001","555100","ED","AN","DL")</f>
        <v>-10040160</v>
      </c>
      <c r="G29" s="14">
        <f>_xll.Get_Balance(G$85,"PTD","USD","Total","A","","001","555100","ED","AN","DL")</f>
        <v>-6252272</v>
      </c>
      <c r="H29" s="14">
        <f>_xll.Get_Balance(H$85,"PTD","USD","Total","A","","001","555100","ED","AN","DL")</f>
        <v>580826</v>
      </c>
      <c r="I29" s="14">
        <f>_xll.Get_Balance(I$85,"PTD","USD","Total","A","","001","555100","ED","AN","DL")</f>
        <v>811234</v>
      </c>
      <c r="J29" s="14">
        <f>_xll.Get_Balance(J$85,"PTD","USD","Total","A","","001","555100","ED","AN","DL")</f>
        <v>455600</v>
      </c>
      <c r="K29" s="14">
        <f>_xll.Get_Balance(K$85,"PTD","USD","Total","A","","001","555100","ED","AN","DL")</f>
        <v>1257360</v>
      </c>
      <c r="L29" s="14">
        <f>_xll.Get_Balance(L$85,"PTD","USD","Total","A","","001","555100","ED","AN","DL")</f>
        <v>3813320</v>
      </c>
      <c r="M29" s="14">
        <f>_xll.Get_Balance(M$85,"PTD","USD","Total","A","","001","555100","ED","AN","DL")</f>
        <v>0</v>
      </c>
      <c r="N29" s="14">
        <f>_xll.Get_Balance(N$85,"PTD","USD","Total","A","","001","555100","ED","AN","DL")</f>
        <v>0</v>
      </c>
      <c r="O29" s="14">
        <f>_xll.Get_Balance(O$85,"PTD","USD","Total","A","","001","555100","ED","AN","DL")</f>
        <v>0</v>
      </c>
      <c r="P29" s="14">
        <f>_xll.Get_Balance(P$85,"PTD","USD","Total","A","","001","555100","ED","AN","DL")</f>
        <v>0</v>
      </c>
      <c r="Q29" s="45"/>
      <c r="R29" s="116">
        <f t="shared" si="8"/>
        <v>-9518414</v>
      </c>
    </row>
    <row r="30" spans="1:20" outlineLevel="1">
      <c r="A30" s="69"/>
      <c r="B30" s="3">
        <v>555312</v>
      </c>
      <c r="C30" s="3" t="s">
        <v>60</v>
      </c>
      <c r="D30" s="125">
        <f t="shared" si="9"/>
        <v>0</v>
      </c>
      <c r="E30" s="14">
        <f>_xll.Get_Balance(E$85,"PTD","USD","Total","A","","001","555312","ED","AN","DL")</f>
        <v>0</v>
      </c>
      <c r="F30" s="14">
        <f>_xll.Get_Balance(F$85,"PTD","USD","Total","A","","001","555312","ED","AN","DL")</f>
        <v>0</v>
      </c>
      <c r="G30" s="14">
        <f>_xll.Get_Balance(G$85,"PTD","USD","Total","A","","001","555312","ED","AN","DL")</f>
        <v>0</v>
      </c>
      <c r="H30" s="14">
        <f>_xll.Get_Balance(H$85,"PTD","USD","Total","A","","001","555312","ED","AN","DL")</f>
        <v>0</v>
      </c>
      <c r="I30" s="14">
        <f>_xll.Get_Balance(I$85,"PTD","USD","Total","A","","001","555312","ED","AN","DL")</f>
        <v>0</v>
      </c>
      <c r="J30" s="14">
        <f>_xll.Get_Balance(J$85,"PTD","USD","Total","A","","001","555312","ED","AN","DL")</f>
        <v>0</v>
      </c>
      <c r="K30" s="14">
        <f>_xll.Get_Balance(K$85,"PTD","USD","Total","A","","001","555312","ED","AN","DL")</f>
        <v>0</v>
      </c>
      <c r="L30" s="14">
        <f>_xll.Get_Balance(L$85,"PTD","USD","Total","A","","001","555312","ED","AN","DL")</f>
        <v>0</v>
      </c>
      <c r="M30" s="14">
        <f>_xll.Get_Balance(M$85,"PTD","USD","Total","A","","001","555312","ED","AN","DL")</f>
        <v>0</v>
      </c>
      <c r="N30" s="14">
        <f>_xll.Get_Balance(N$85,"PTD","USD","Total","A","","001","555312","ED","AN","DL")</f>
        <v>0</v>
      </c>
      <c r="O30" s="14">
        <f>_xll.Get_Balance(O$85,"PTD","USD","Total","A","","001","555312","ED","AN","DL")</f>
        <v>0</v>
      </c>
      <c r="P30" s="14">
        <f>_xll.Get_Balance(P$85,"PTD","USD","Total","A","","001","555312","ED","AN","DL")</f>
        <v>0</v>
      </c>
      <c r="Q30" s="45"/>
      <c r="R30" s="116">
        <f>SUM(E30:P30)</f>
        <v>0</v>
      </c>
    </row>
    <row r="31" spans="1:20" outlineLevel="1">
      <c r="A31" s="69"/>
      <c r="B31" s="4">
        <v>555313</v>
      </c>
      <c r="C31" s="4" t="s">
        <v>60</v>
      </c>
      <c r="D31" s="125">
        <f t="shared" si="9"/>
        <v>0</v>
      </c>
      <c r="E31" s="14">
        <f>_xll.Get_Balance(E$85,"PTD","USD","Total","A","","001","555313","ED","AN","DL")</f>
        <v>0</v>
      </c>
      <c r="F31" s="14">
        <f>_xll.Get_Balance(F$85,"PTD","USD","Total","A","","001","555313","ED","AN","DL")</f>
        <v>0</v>
      </c>
      <c r="G31" s="14">
        <f>_xll.Get_Balance(G$85,"PTD","USD","Total","A","","001","555313","ED","AN","DL")</f>
        <v>0</v>
      </c>
      <c r="H31" s="14">
        <f>_xll.Get_Balance(H$85,"PTD","USD","Total","A","","001","555313","ED","AN","DL")</f>
        <v>0</v>
      </c>
      <c r="I31" s="14">
        <f>_xll.Get_Balance(I$85,"PTD","USD","Total","A","","001","555313","ED","AN","DL")</f>
        <v>0</v>
      </c>
      <c r="J31" s="14">
        <f>_xll.Get_Balance(J$85,"PTD","USD","Total","A","","001","555313","ED","AN","DL")</f>
        <v>0</v>
      </c>
      <c r="K31" s="14">
        <f>_xll.Get_Balance(K$85,"PTD","USD","Total","A","","001","555313","ED","AN","DL")</f>
        <v>0</v>
      </c>
      <c r="L31" s="14">
        <f>_xll.Get_Balance(L$85,"PTD","USD","Total","A","","001","555313","ED","AN","DL")</f>
        <v>0</v>
      </c>
      <c r="M31" s="14">
        <f>_xll.Get_Balance(M$85,"PTD","USD","Total","A","","001","555313","ED","AN","DL")</f>
        <v>0</v>
      </c>
      <c r="N31" s="14">
        <f>_xll.Get_Balance(N$85,"PTD","USD","Total","A","","001","555313","ED","AN","DL")</f>
        <v>0</v>
      </c>
      <c r="O31" s="14">
        <f>_xll.Get_Balance(O$85,"PTD","USD","Total","A","","001","555313","ED","AN","DL")</f>
        <v>0</v>
      </c>
      <c r="P31" s="14">
        <f>_xll.Get_Balance(P$85,"PTD","USD","Total","A","","001","555313","ED","AN","DL")</f>
        <v>0</v>
      </c>
      <c r="Q31" s="45"/>
      <c r="R31" s="116">
        <f>SUM(E31:P31)</f>
        <v>0</v>
      </c>
    </row>
    <row r="32" spans="1:20" outlineLevel="1">
      <c r="A32" s="69"/>
      <c r="B32" s="4">
        <v>555380</v>
      </c>
      <c r="C32" s="4" t="s">
        <v>93</v>
      </c>
      <c r="D32" s="125">
        <f t="shared" si="9"/>
        <v>0</v>
      </c>
      <c r="E32" s="14">
        <f>_xll.Get_Balance(E$85,"PTD","USD","Total","A","","001","555380","ED","AN","DL")</f>
        <v>0</v>
      </c>
      <c r="F32" s="14">
        <f>_xll.Get_Balance(F$85,"PTD","USD","Total","A","","001","555380","ED","AN","DL")</f>
        <v>0</v>
      </c>
      <c r="G32" s="14">
        <f>_xll.Get_Balance(G$85,"PTD","USD","Total","A","","001","555380","ED","AN","DL")</f>
        <v>0</v>
      </c>
      <c r="H32" s="14">
        <f>_xll.Get_Balance(H$85,"PTD","USD","Total","A","","001","555380","ED","AN","DL")</f>
        <v>0</v>
      </c>
      <c r="I32" s="14">
        <f>_xll.Get_Balance(I$85,"PTD","USD","Total","A","","001","555380","ED","AN","DL")</f>
        <v>0</v>
      </c>
      <c r="J32" s="14">
        <f>_xll.Get_Balance(J$85,"PTD","USD","Total","A","","001","555380","ED","AN","DL")</f>
        <v>0</v>
      </c>
      <c r="K32" s="14">
        <f>_xll.Get_Balance(K$85,"PTD","USD","Total","A","","001","555380","ED","AN","DL")</f>
        <v>0</v>
      </c>
      <c r="L32" s="14">
        <f>_xll.Get_Balance(L$85,"PTD","USD","Total","A","","001","555380","ED","AN","DL")</f>
        <v>0</v>
      </c>
      <c r="M32" s="14">
        <f>_xll.Get_Balance(M$85,"PTD","USD","Total","A","","001","555380","ED","AN","DL")</f>
        <v>0</v>
      </c>
      <c r="N32" s="14">
        <f>_xll.Get_Balance(N$85,"PTD","USD","Total","A","","001","555380","ED","AN","DL")</f>
        <v>0</v>
      </c>
      <c r="O32" s="14">
        <f>_xll.Get_Balance(O$85,"PTD","USD","Total","A","","001","555380","ED","AN","DL")</f>
        <v>0</v>
      </c>
      <c r="P32" s="14">
        <f>_xll.Get_Balance(P$85,"PTD","USD","Total","A","","001","555380","ED","AN","DL")</f>
        <v>0</v>
      </c>
      <c r="Q32" s="45"/>
      <c r="R32" s="116">
        <f>SUM(E32:P32)</f>
        <v>0</v>
      </c>
    </row>
    <row r="33" spans="1:18" outlineLevel="1">
      <c r="A33" s="69"/>
      <c r="B33" s="4">
        <v>555550</v>
      </c>
      <c r="C33" s="4" t="s">
        <v>94</v>
      </c>
      <c r="D33" s="125">
        <f t="shared" si="9"/>
        <v>-1636825</v>
      </c>
      <c r="E33" s="14">
        <f>_xll.Get_Balance(E$85,"PTD","USD","Total","A","","001","555550","ED","AN","DL")</f>
        <v>-336895</v>
      </c>
      <c r="F33" s="14">
        <f>_xll.Get_Balance(F$85,"PTD","USD","Total","A","","001","555550","ED","AN","DL")</f>
        <v>-717182</v>
      </c>
      <c r="G33" s="14">
        <f>_xll.Get_Balance(G$85,"PTD","USD","Total","A","","001","555550","ED","AN","DL")</f>
        <v>-527151</v>
      </c>
      <c r="H33" s="14">
        <f>_xll.Get_Balance(H$85,"PTD","USD","Total","A","","001","555550","ED","AN","DL")</f>
        <v>-257975</v>
      </c>
      <c r="I33" s="14">
        <f>_xll.Get_Balance(I$85,"PTD","USD","Total","A","","001","555550","ED","AN","DL")</f>
        <v>22739</v>
      </c>
      <c r="J33" s="14">
        <f>_xll.Get_Balance(J$85,"PTD","USD","Total","A","","001","555550","ED","AN","DL")</f>
        <v>1248303</v>
      </c>
      <c r="K33" s="14">
        <f>_xll.Get_Balance(K$85,"PTD","USD","Total","A","","001","555550","ED","AN","DL")</f>
        <v>-480458</v>
      </c>
      <c r="L33" s="14">
        <f>_xll.Get_Balance(L$85,"PTD","USD","Total","A","","001","555550","ED","AN","DL")</f>
        <v>-588206</v>
      </c>
      <c r="M33" s="14">
        <f>_xll.Get_Balance(M$85,"PTD","USD","Total","A","","001","555550","ED","AN","DL")</f>
        <v>0</v>
      </c>
      <c r="N33" s="14">
        <f>_xll.Get_Balance(N$85,"PTD","USD","Total","A","","001","555550","ED","AN","DL")</f>
        <v>0</v>
      </c>
      <c r="O33" s="14">
        <f>_xll.Get_Balance(O$85,"PTD","USD","Total","A","","001","555550","ED","AN","DL")</f>
        <v>0</v>
      </c>
      <c r="P33" s="14">
        <f>_xll.Get_Balance(P$85,"PTD","USD","Total","A","","001","555550","ED","AN","DL")</f>
        <v>0</v>
      </c>
      <c r="Q33" s="45"/>
      <c r="R33" s="116">
        <f>SUM(E33:P33)</f>
        <v>-1636825</v>
      </c>
    </row>
    <row r="34" spans="1:18" outlineLevel="1">
      <c r="A34" s="69"/>
      <c r="B34" s="4">
        <v>555700</v>
      </c>
      <c r="C34" s="4" t="s">
        <v>95</v>
      </c>
      <c r="D34" s="125">
        <f t="shared" si="9"/>
        <v>4694648</v>
      </c>
      <c r="E34" s="14">
        <f>_xll.Get_Balance(E$85,"PTD","USD","Total","A","","001","555700","ED","AN","DL")</f>
        <v>757208</v>
      </c>
      <c r="F34" s="14">
        <f>_xll.Get_Balance(F$85,"PTD","USD","Total","A","","001","555700","ED","AN","DL")</f>
        <v>981187</v>
      </c>
      <c r="G34" s="14">
        <f>_xll.Get_Balance(G$85,"PTD","USD","Total","A","","001","555700","ED","AN","DL")</f>
        <v>2081290</v>
      </c>
      <c r="H34" s="14">
        <f>_xll.Get_Balance(H$85,"PTD","USD","Total","A","","001","555700","ED","AN","DL")</f>
        <v>117370</v>
      </c>
      <c r="I34" s="14">
        <f>_xll.Get_Balance(I$85,"PTD","USD","Total","A","","001","555700","ED","AN","DL")</f>
        <v>162260</v>
      </c>
      <c r="J34" s="14">
        <f>_xll.Get_Balance(J$85,"PTD","USD","Total","A","","001","555700","ED","AN","DL")</f>
        <v>398160</v>
      </c>
      <c r="K34" s="14">
        <f>_xll.Get_Balance(K$85,"PTD","USD","Total","A","","001","555700","ED","AN","DL")</f>
        <v>106223</v>
      </c>
      <c r="L34" s="14">
        <f>_xll.Get_Balance(L$85,"PTD","USD","Total","A","","001","555700","ED","AN","DL")</f>
        <v>90950</v>
      </c>
      <c r="M34" s="14">
        <f>_xll.Get_Balance(M$85,"PTD","USD","Total","A","","001","555700","ED","AN","DL")</f>
        <v>0</v>
      </c>
      <c r="N34" s="14">
        <f>_xll.Get_Balance(N$85,"PTD","USD","Total","A","","001","555700","ED","AN","DL")</f>
        <v>0</v>
      </c>
      <c r="O34" s="14">
        <f>_xll.Get_Balance(O$85,"PTD","USD","Total","A","","001","555700","ED","AN","DL")</f>
        <v>0</v>
      </c>
      <c r="P34" s="14">
        <f>_xll.Get_Balance(P$85,"PTD","USD","Total","A","","001","555700","ED","AN","DL")</f>
        <v>0</v>
      </c>
      <c r="Q34" s="45"/>
      <c r="R34" s="116">
        <f t="shared" si="8"/>
        <v>4694648</v>
      </c>
    </row>
    <row r="35" spans="1:18" outlineLevel="1">
      <c r="A35" s="69"/>
      <c r="B35" s="4">
        <v>555710</v>
      </c>
      <c r="C35" s="4" t="s">
        <v>96</v>
      </c>
      <c r="D35" s="125">
        <f t="shared" si="9"/>
        <v>1686377</v>
      </c>
      <c r="E35" s="14">
        <f>_xll.Get_Balance(E$85,"PTD","USD","Total","A","","001","555710","ED","AN","DL")</f>
        <v>214294</v>
      </c>
      <c r="F35" s="14">
        <f>_xll.Get_Balance(F$85,"PTD","USD","Total","A","","001","555710","ED","AN","DL")</f>
        <v>255268</v>
      </c>
      <c r="G35" s="14">
        <f>_xll.Get_Balance(G$85,"PTD","USD","Total","A","","001","555710","ED","AN","DL")</f>
        <v>255076</v>
      </c>
      <c r="H35" s="14">
        <f>_xll.Get_Balance(H$85,"PTD","USD","Total","A","","001","555710","ED","AN","DL")</f>
        <v>175722</v>
      </c>
      <c r="I35" s="14">
        <f>_xll.Get_Balance(I$85,"PTD","USD","Total","A","","001","555710","ED","AN","DL")</f>
        <v>184130</v>
      </c>
      <c r="J35" s="14">
        <f>_xll.Get_Balance(J$85,"PTD","USD","Total","A","","001","555710","ED","AN","DL")</f>
        <v>188967</v>
      </c>
      <c r="K35" s="14">
        <f>_xll.Get_Balance(K$85,"PTD","USD","Total","A","","001","555710","ED","AN","DL")</f>
        <v>204764</v>
      </c>
      <c r="L35" s="14">
        <f>_xll.Get_Balance(L$85,"PTD","USD","Total","A","","001","555710","ED","AN","DL")</f>
        <v>208156</v>
      </c>
      <c r="M35" s="14">
        <f>_xll.Get_Balance(M$85,"PTD","USD","Total","A","","001","555710","ED","AN","DL")</f>
        <v>0</v>
      </c>
      <c r="N35" s="14">
        <f>_xll.Get_Balance(N$85,"PTD","USD","Total","A","","001","555710","ED","AN","DL")</f>
        <v>0</v>
      </c>
      <c r="O35" s="14">
        <f>_xll.Get_Balance(O$85,"PTD","USD","Total","A","","001","555710","ED","AN","DL")</f>
        <v>0</v>
      </c>
      <c r="P35" s="14">
        <f>_xll.Get_Balance(P$85,"PTD","USD","Total","A","","001","555710","ED","AN","DL")</f>
        <v>0</v>
      </c>
      <c r="Q35" s="45"/>
      <c r="R35" s="116">
        <f t="shared" si="8"/>
        <v>1686377</v>
      </c>
    </row>
    <row r="36" spans="1:18" outlineLevel="1">
      <c r="A36" s="69"/>
      <c r="C36" s="68" t="s">
        <v>187</v>
      </c>
      <c r="D36" s="125">
        <f t="shared" si="9"/>
        <v>-64648</v>
      </c>
      <c r="E36" s="14">
        <f>-SUM((40589/12)+(1.29*950)-(E51*0.0063))</f>
        <v>-4422</v>
      </c>
      <c r="F36" s="14">
        <f>-SUM((40589/12)+(1.29*950)-(F51*0.0063))</f>
        <v>-3884</v>
      </c>
      <c r="G36" s="14">
        <f>-SUM((40589/12)+(1.29*4194)-(G51*0.0063))</f>
        <v>-7855</v>
      </c>
      <c r="H36" s="14">
        <f>-SUM((40589/12)+(1.29*4103)-(H51*0.0063))</f>
        <v>-8320</v>
      </c>
      <c r="I36" s="14">
        <f>-SUM((40589/12)+(1.29*5569)-(I51*0.0063))</f>
        <v>-10096</v>
      </c>
      <c r="J36" s="14">
        <f>-SUM((40589/12)+(1.29*5658)-(J51*0.0063))</f>
        <v>-10025</v>
      </c>
      <c r="K36" s="14">
        <f>-SUM((40589/12)+(1.29*6317)-(K51*0.0063))</f>
        <v>-10485</v>
      </c>
      <c r="L36" s="14">
        <f>-SUM((40589/12)+(1.29*5700)-(L51*0.0063))</f>
        <v>-9561</v>
      </c>
      <c r="M36" s="14"/>
      <c r="N36" s="14"/>
      <c r="O36" s="14"/>
      <c r="P36" s="14"/>
      <c r="Q36" s="45"/>
      <c r="R36" s="116"/>
    </row>
    <row r="37" spans="1:18" outlineLevel="1">
      <c r="A37" s="69"/>
      <c r="B37" s="51" t="s">
        <v>48</v>
      </c>
      <c r="C37" s="28" t="s">
        <v>139</v>
      </c>
      <c r="D37" s="127">
        <f t="shared" si="9"/>
        <v>93661</v>
      </c>
      <c r="E37" s="128">
        <f>'Input Tab'!C42</f>
        <v>32572.799999999999</v>
      </c>
      <c r="F37" s="128">
        <f>'Input Tab'!D42</f>
        <v>29432.7</v>
      </c>
      <c r="G37" s="128">
        <f>'Input Tab'!E42</f>
        <v>16081.2</v>
      </c>
      <c r="H37" s="128">
        <f>'Input Tab'!F42</f>
        <v>15574.68</v>
      </c>
      <c r="I37" s="128">
        <f>'Input Tab'!G42</f>
        <v>0</v>
      </c>
      <c r="J37" s="128">
        <f>'Input Tab'!H42</f>
        <v>0</v>
      </c>
      <c r="K37" s="128">
        <f>'Input Tab'!I42</f>
        <v>0</v>
      </c>
      <c r="L37" s="128">
        <f>'Input Tab'!J42</f>
        <v>0</v>
      </c>
      <c r="M37" s="128">
        <f>'Input Tab'!K42</f>
        <v>0</v>
      </c>
      <c r="N37" s="128">
        <f>'Input Tab'!L42</f>
        <v>0</v>
      </c>
      <c r="O37" s="128">
        <f>'Input Tab'!M42</f>
        <v>0</v>
      </c>
      <c r="P37" s="128">
        <f>'Input Tab'!N42</f>
        <v>0</v>
      </c>
      <c r="Q37" s="95"/>
      <c r="R37" s="116">
        <f t="shared" si="8"/>
        <v>93661</v>
      </c>
    </row>
    <row r="38" spans="1:18" s="26" customFormat="1" outlineLevel="1">
      <c r="A38" s="129"/>
      <c r="B38" s="52"/>
      <c r="C38" s="52"/>
      <c r="D38" s="35">
        <f>SUM(E38:P38)</f>
        <v>94978198</v>
      </c>
      <c r="E38" s="35">
        <f t="shared" ref="E38:P38" si="10">SUM(E27:E37)</f>
        <v>13287337</v>
      </c>
      <c r="F38" s="35">
        <f t="shared" si="10"/>
        <v>12471420</v>
      </c>
      <c r="G38" s="35">
        <f t="shared" si="10"/>
        <v>15020181</v>
      </c>
      <c r="H38" s="35">
        <f t="shared" si="10"/>
        <v>10654380</v>
      </c>
      <c r="I38" s="35">
        <f t="shared" si="10"/>
        <v>9382490</v>
      </c>
      <c r="J38" s="35">
        <f t="shared" si="10"/>
        <v>10767043</v>
      </c>
      <c r="K38" s="35">
        <f t="shared" si="10"/>
        <v>9877087</v>
      </c>
      <c r="L38" s="35">
        <f t="shared" si="10"/>
        <v>13518260</v>
      </c>
      <c r="M38" s="35">
        <f t="shared" si="10"/>
        <v>0</v>
      </c>
      <c r="N38" s="35">
        <f t="shared" si="10"/>
        <v>0</v>
      </c>
      <c r="O38" s="35">
        <f t="shared" si="10"/>
        <v>0</v>
      </c>
      <c r="P38" s="35">
        <f t="shared" si="10"/>
        <v>0</v>
      </c>
      <c r="Q38" s="43"/>
      <c r="R38" s="35">
        <f>SUM(R27:R37)</f>
        <v>95042845</v>
      </c>
    </row>
    <row r="39" spans="1:18">
      <c r="A39" s="69"/>
      <c r="B39" s="52"/>
      <c r="C39" s="52"/>
      <c r="E39" s="125"/>
      <c r="F39" s="125"/>
      <c r="G39" s="125"/>
      <c r="H39" s="125"/>
      <c r="I39" s="125"/>
      <c r="J39" s="125"/>
      <c r="K39" s="125"/>
      <c r="L39" s="125"/>
      <c r="M39" s="125"/>
      <c r="N39" s="125"/>
      <c r="O39" s="125"/>
      <c r="P39" s="125"/>
    </row>
    <row r="40" spans="1:18" ht="19.5" customHeight="1">
      <c r="A40" s="69"/>
      <c r="B40" s="53" t="s">
        <v>21</v>
      </c>
      <c r="C40" s="53"/>
      <c r="E40" s="125"/>
      <c r="F40" s="125"/>
      <c r="G40" s="125"/>
      <c r="H40" s="125"/>
      <c r="I40" s="125"/>
      <c r="J40" s="125"/>
      <c r="K40" s="125"/>
      <c r="L40" s="125"/>
      <c r="M40" s="125"/>
      <c r="N40" s="125"/>
      <c r="O40" s="125"/>
      <c r="P40" s="125"/>
    </row>
    <row r="41" spans="1:18" ht="12.95" customHeight="1">
      <c r="A41" s="69">
        <f>A23+1</f>
        <v>18</v>
      </c>
      <c r="B41" s="4" t="s">
        <v>22</v>
      </c>
      <c r="C41" s="80"/>
      <c r="D41" s="125">
        <f t="shared" ref="D41:D46" si="11">SUM(E41:P41)</f>
        <v>-45383402</v>
      </c>
      <c r="E41" s="22">
        <f t="shared" ref="E41:P41" si="12">E46-SUM(E42:E45)</f>
        <v>-5667231</v>
      </c>
      <c r="F41" s="22">
        <f t="shared" si="12"/>
        <v>-1839796</v>
      </c>
      <c r="G41" s="22">
        <f t="shared" si="12"/>
        <v>-6130300</v>
      </c>
      <c r="H41" s="22">
        <f t="shared" si="12"/>
        <v>-9008080</v>
      </c>
      <c r="I41" s="22">
        <f t="shared" si="12"/>
        <v>-7461700</v>
      </c>
      <c r="J41" s="22">
        <f t="shared" si="12"/>
        <v>-5925220</v>
      </c>
      <c r="K41" s="22">
        <f t="shared" si="12"/>
        <v>-5181353</v>
      </c>
      <c r="L41" s="22">
        <f t="shared" si="12"/>
        <v>-4169722</v>
      </c>
      <c r="M41" s="22">
        <f t="shared" si="12"/>
        <v>0</v>
      </c>
      <c r="N41" s="22">
        <f t="shared" si="12"/>
        <v>0</v>
      </c>
      <c r="O41" s="22">
        <f t="shared" si="12"/>
        <v>0</v>
      </c>
      <c r="P41" s="22">
        <f t="shared" si="12"/>
        <v>0</v>
      </c>
      <c r="Q41" s="130"/>
      <c r="R41" s="125">
        <f>SUM(E41:P41)</f>
        <v>-45383402</v>
      </c>
    </row>
    <row r="42" spans="1:18">
      <c r="A42" s="69">
        <f>A41+1</f>
        <v>19</v>
      </c>
      <c r="B42" s="4" t="s">
        <v>27</v>
      </c>
      <c r="C42" s="80" t="s">
        <v>97</v>
      </c>
      <c r="D42" s="125">
        <f t="shared" si="11"/>
        <v>-1210546</v>
      </c>
      <c r="E42" s="120">
        <f>'Input Tab'!C45</f>
        <v>-120724</v>
      </c>
      <c r="F42" s="120">
        <f>'Input Tab'!D45</f>
        <v>-304137</v>
      </c>
      <c r="G42" s="120">
        <f>'Input Tab'!E45</f>
        <v>-375125</v>
      </c>
      <c r="H42" s="120">
        <f>'Input Tab'!F45</f>
        <v>-60162</v>
      </c>
      <c r="I42" s="120">
        <f>'Input Tab'!G45</f>
        <v>-45193</v>
      </c>
      <c r="J42" s="120">
        <f>'Input Tab'!H45</f>
        <v>-61644</v>
      </c>
      <c r="K42" s="120">
        <f>'Input Tab'!I45</f>
        <v>-104422</v>
      </c>
      <c r="L42" s="120">
        <f>'Input Tab'!J45</f>
        <v>-139139</v>
      </c>
      <c r="M42" s="120">
        <f>'Input Tab'!K45</f>
        <v>0</v>
      </c>
      <c r="N42" s="120">
        <f>'Input Tab'!L45</f>
        <v>0</v>
      </c>
      <c r="O42" s="120">
        <f>'Input Tab'!M45</f>
        <v>0</v>
      </c>
      <c r="P42" s="120">
        <f>'Input Tab'!N45</f>
        <v>0</v>
      </c>
      <c r="Q42" s="130"/>
      <c r="R42" s="125">
        <f>SUM(E42:P42)</f>
        <v>-1210546</v>
      </c>
    </row>
    <row r="43" spans="1:18">
      <c r="A43" s="69">
        <f>A42+1</f>
        <v>20</v>
      </c>
      <c r="B43" s="3" t="s">
        <v>165</v>
      </c>
      <c r="C43" s="28" t="s">
        <v>138</v>
      </c>
      <c r="D43" s="125">
        <f t="shared" si="11"/>
        <v>-98801</v>
      </c>
      <c r="E43" s="120">
        <f>'Input Tab'!C46</f>
        <v>-12804</v>
      </c>
      <c r="F43" s="120">
        <f>'Input Tab'!D46</f>
        <v>-11620</v>
      </c>
      <c r="G43" s="120">
        <f>'Input Tab'!E46</f>
        <v>-12663</v>
      </c>
      <c r="H43" s="120">
        <f>'Input Tab'!F46</f>
        <v>-12424</v>
      </c>
      <c r="I43" s="120">
        <f>'Input Tab'!G46</f>
        <v>-12082</v>
      </c>
      <c r="J43" s="120">
        <f>'Input Tab'!H46</f>
        <v>-12073</v>
      </c>
      <c r="K43" s="120">
        <f>'Input Tab'!I46</f>
        <v>-12467</v>
      </c>
      <c r="L43" s="120">
        <f>'Input Tab'!J46</f>
        <v>-12668</v>
      </c>
      <c r="M43" s="120">
        <f>'Input Tab'!K46</f>
        <v>0</v>
      </c>
      <c r="N43" s="120">
        <f>'Input Tab'!L46</f>
        <v>0</v>
      </c>
      <c r="O43" s="120">
        <f>'Input Tab'!M46</f>
        <v>0</v>
      </c>
      <c r="P43" s="120">
        <f>'Input Tab'!N46</f>
        <v>0</v>
      </c>
      <c r="Q43" s="130"/>
      <c r="R43" s="125">
        <f>SUM(E43:P43)</f>
        <v>-98801</v>
      </c>
    </row>
    <row r="44" spans="1:18">
      <c r="A44" s="69">
        <f>A43+1</f>
        <v>21</v>
      </c>
      <c r="B44" s="4" t="s">
        <v>31</v>
      </c>
      <c r="C44" s="131" t="s">
        <v>137</v>
      </c>
      <c r="D44" s="125">
        <f t="shared" si="11"/>
        <v>-441543</v>
      </c>
      <c r="E44" s="120">
        <f>'Input Tab'!C47</f>
        <v>-63475</v>
      </c>
      <c r="F44" s="120">
        <f>'Input Tab'!D47</f>
        <v>-58476</v>
      </c>
      <c r="G44" s="120">
        <f>'Input Tab'!E47</f>
        <v>-58414</v>
      </c>
      <c r="H44" s="120">
        <f>'Input Tab'!F47</f>
        <v>-50505</v>
      </c>
      <c r="I44" s="120">
        <f>'Input Tab'!G47</f>
        <v>-54144</v>
      </c>
      <c r="J44" s="120">
        <f>'Input Tab'!H47</f>
        <v>-54456</v>
      </c>
      <c r="K44" s="120">
        <f>'Input Tab'!I47</f>
        <v>-52981</v>
      </c>
      <c r="L44" s="120">
        <f>'Input Tab'!J47</f>
        <v>-49092</v>
      </c>
      <c r="M44" s="120">
        <f>'Input Tab'!K47</f>
        <v>0</v>
      </c>
      <c r="N44" s="120">
        <f>'Input Tab'!L47</f>
        <v>0</v>
      </c>
      <c r="O44" s="120">
        <f>'Input Tab'!M47</f>
        <v>0</v>
      </c>
      <c r="P44" s="120">
        <f>'Input Tab'!N47</f>
        <v>0</v>
      </c>
      <c r="Q44" s="130"/>
      <c r="R44" s="125">
        <f>SUM(E44:P44)</f>
        <v>-441543</v>
      </c>
    </row>
    <row r="45" spans="1:18">
      <c r="A45" s="69">
        <f>A44+1</f>
        <v>22</v>
      </c>
      <c r="B45" s="4" t="s">
        <v>29</v>
      </c>
      <c r="C45" s="80"/>
      <c r="D45" s="125">
        <f t="shared" si="11"/>
        <v>-11129767</v>
      </c>
      <c r="E45" s="20">
        <f>E56</f>
        <v>-1090562</v>
      </c>
      <c r="F45" s="20">
        <f>F56</f>
        <v>-1486418</v>
      </c>
      <c r="G45" s="20">
        <f t="shared" ref="G45:P45" si="13">G56</f>
        <v>-1399685</v>
      </c>
      <c r="H45" s="20">
        <f t="shared" si="13"/>
        <v>-1642181</v>
      </c>
      <c r="I45" s="20">
        <f t="shared" si="13"/>
        <v>-1644969</v>
      </c>
      <c r="J45" s="20">
        <f>J56</f>
        <v>-1587682</v>
      </c>
      <c r="K45" s="20">
        <f>K56</f>
        <v>-1264148</v>
      </c>
      <c r="L45" s="20">
        <f t="shared" si="13"/>
        <v>-1014122</v>
      </c>
      <c r="M45" s="20">
        <f t="shared" si="13"/>
        <v>0</v>
      </c>
      <c r="N45" s="20">
        <f t="shared" si="13"/>
        <v>0</v>
      </c>
      <c r="O45" s="20">
        <f t="shared" si="13"/>
        <v>0</v>
      </c>
      <c r="P45" s="20">
        <f t="shared" si="13"/>
        <v>0</v>
      </c>
      <c r="Q45" s="130"/>
      <c r="R45" s="125">
        <f>SUM(E45:P45)</f>
        <v>-11129767</v>
      </c>
    </row>
    <row r="46" spans="1:18" s="26" customFormat="1" ht="24.75" customHeight="1" thickBot="1">
      <c r="A46" s="122">
        <f>A45+1</f>
        <v>23</v>
      </c>
      <c r="B46" s="54" t="s">
        <v>79</v>
      </c>
      <c r="C46" s="54"/>
      <c r="D46" s="34">
        <f t="shared" si="11"/>
        <v>-58264059</v>
      </c>
      <c r="E46" s="123">
        <f>E57</f>
        <v>-6954796</v>
      </c>
      <c r="F46" s="123">
        <f>F57</f>
        <v>-3700447</v>
      </c>
      <c r="G46" s="123">
        <f t="shared" ref="G46:P46" si="14">G57</f>
        <v>-7976187</v>
      </c>
      <c r="H46" s="123">
        <f>H57</f>
        <v>-10773352</v>
      </c>
      <c r="I46" s="123">
        <f>I57</f>
        <v>-9218088</v>
      </c>
      <c r="J46" s="123">
        <f t="shared" si="14"/>
        <v>-7641075</v>
      </c>
      <c r="K46" s="123">
        <f t="shared" si="14"/>
        <v>-6615371</v>
      </c>
      <c r="L46" s="123">
        <f t="shared" si="14"/>
        <v>-5384743</v>
      </c>
      <c r="M46" s="123">
        <f>M57</f>
        <v>0</v>
      </c>
      <c r="N46" s="123">
        <f t="shared" si="14"/>
        <v>0</v>
      </c>
      <c r="O46" s="123">
        <f t="shared" si="14"/>
        <v>0</v>
      </c>
      <c r="P46" s="123">
        <f t="shared" si="14"/>
        <v>0</v>
      </c>
      <c r="Q46" s="132"/>
      <c r="R46" s="124">
        <f>SUM(R41:R45)</f>
        <v>-58264059</v>
      </c>
    </row>
    <row r="47" spans="1:18" ht="13.5" thickTop="1">
      <c r="A47" s="69"/>
      <c r="E47" s="21"/>
      <c r="F47" s="21"/>
      <c r="G47" s="21"/>
      <c r="H47" s="21"/>
      <c r="I47" s="21"/>
      <c r="J47" s="21"/>
      <c r="K47" s="21"/>
      <c r="L47" s="21"/>
      <c r="M47" s="21"/>
      <c r="N47" s="21"/>
      <c r="O47" s="21"/>
      <c r="P47" s="21"/>
      <c r="Q47" s="133"/>
    </row>
    <row r="48" spans="1:18" outlineLevel="2">
      <c r="A48" s="69"/>
      <c r="E48" s="125"/>
      <c r="F48" s="125"/>
      <c r="G48" s="21"/>
      <c r="H48" s="21"/>
      <c r="I48" s="21"/>
      <c r="J48" s="21"/>
      <c r="K48" s="21"/>
      <c r="L48" s="21"/>
      <c r="M48" s="21"/>
      <c r="N48" s="21"/>
      <c r="O48" s="21"/>
      <c r="P48" s="21"/>
      <c r="Q48" s="133"/>
    </row>
    <row r="49" spans="1:18" outlineLevel="2">
      <c r="A49" s="69"/>
      <c r="B49" s="55" t="s">
        <v>21</v>
      </c>
      <c r="C49" s="55"/>
      <c r="E49" s="125"/>
      <c r="F49" s="125"/>
      <c r="G49" s="21"/>
      <c r="H49" s="21"/>
      <c r="I49" s="21"/>
      <c r="J49" s="21"/>
      <c r="K49" s="21"/>
      <c r="L49" s="21"/>
      <c r="M49" s="21"/>
      <c r="N49" s="21"/>
      <c r="O49" s="21"/>
      <c r="P49" s="21"/>
      <c r="Q49" s="133"/>
    </row>
    <row r="50" spans="1:18" outlineLevel="2">
      <c r="A50" s="69"/>
      <c r="B50" s="4">
        <v>447000</v>
      </c>
      <c r="D50" s="125">
        <f t="shared" ref="D50:D57" si="15">SUM(E50:P50)</f>
        <v>-48504998</v>
      </c>
      <c r="E50" s="14">
        <f>_xll.Get_Balance(E$85,"PTD","USD","Total","A","","001","447000","ED","AN","DL")</f>
        <v>-4862162</v>
      </c>
      <c r="F50" s="14">
        <f>_xll.Get_Balance(F$85,"PTD","USD","Total","A","","001","447000","ED","AN","DL")</f>
        <v>-13245616</v>
      </c>
      <c r="G50" s="14">
        <f>_xll.Get_Balance(G$85,"PTD","USD","Total","A","","001","447000","ED","AN","DL")</f>
        <v>-15027139</v>
      </c>
      <c r="H50" s="14">
        <f>_xll.Get_Balance(H$85,"PTD","USD","Total","A","","001","447000","ED","AN","DL")</f>
        <v>-3949003</v>
      </c>
      <c r="I50" s="14">
        <f>_xll.Get_Balance(I$85,"PTD","USD","Total","A","","001","447000","ED","AN","DL")</f>
        <v>-2622751</v>
      </c>
      <c r="J50" s="14">
        <f>_xll.Get_Balance(J$85,"PTD","USD","Total","A","","001","447000","ED","AN","DL")</f>
        <v>-2112158</v>
      </c>
      <c r="K50" s="14">
        <f>_xll.Get_Balance(K$85,"PTD","USD","Total","A","","001","447000","ED","AN","DL")</f>
        <v>-3491018</v>
      </c>
      <c r="L50" s="14">
        <f>_xll.Get_Balance(L$85,"PTD","USD","Total","A","","001","447000","ED","AN","DL")</f>
        <v>-3195151</v>
      </c>
      <c r="M50" s="14">
        <f>_xll.Get_Balance(M$85,"PTD","USD","Total","A","","001","447000","ED","AN","DL")</f>
        <v>0</v>
      </c>
      <c r="N50" s="14">
        <f>_xll.Get_Balance(N$85,"PTD","USD","Total","A","","001","447000","ED","AN","DL")</f>
        <v>0</v>
      </c>
      <c r="O50" s="14">
        <f>_xll.Get_Balance(O$85,"PTD","USD","Total","A","","001","447000","ED","AN","DL")</f>
        <v>0</v>
      </c>
      <c r="P50" s="14">
        <f>_xll.Get_Balance(P$85,"PTD","USD","Total","A","","001","447000","ED","AN","DL")</f>
        <v>0</v>
      </c>
      <c r="Q50" s="134"/>
      <c r="R50" s="116">
        <f t="shared" ref="R50:R56" si="16">SUM(E50:P50)</f>
        <v>-48504998</v>
      </c>
    </row>
    <row r="51" spans="1:18" outlineLevel="2">
      <c r="A51" s="69"/>
      <c r="C51" s="26" t="s">
        <v>185</v>
      </c>
      <c r="D51" s="125">
        <f t="shared" si="15"/>
        <v>881147</v>
      </c>
      <c r="E51" s="14">
        <v>29529</v>
      </c>
      <c r="F51" s="14">
        <v>114980</v>
      </c>
      <c r="G51" s="14">
        <v>148778</v>
      </c>
      <c r="H51" s="14">
        <v>56427</v>
      </c>
      <c r="I51" s="14">
        <v>74697</v>
      </c>
      <c r="J51" s="14">
        <v>104242</v>
      </c>
      <c r="K51" s="14">
        <v>166096</v>
      </c>
      <c r="L51" s="14">
        <v>186398</v>
      </c>
      <c r="M51" s="14"/>
      <c r="N51" s="14"/>
      <c r="O51" s="14"/>
      <c r="P51" s="14"/>
      <c r="Q51" s="134"/>
      <c r="R51" s="116"/>
    </row>
    <row r="52" spans="1:18" outlineLevel="2">
      <c r="A52" s="69"/>
      <c r="B52" s="4">
        <v>447100</v>
      </c>
      <c r="D52" s="125">
        <f t="shared" si="15"/>
        <v>23655125</v>
      </c>
      <c r="E52" s="14">
        <f>_xll.Get_Balance(E$85,"PTD","USD","Total","A","","001","447100","ED","AN","DL")</f>
        <v>1068874</v>
      </c>
      <c r="F52" s="14">
        <f>_xll.Get_Balance(F$85,"PTD","USD","Total","A","","001","447100","ED","AN","DL")</f>
        <v>14873040</v>
      </c>
      <c r="G52" s="14">
        <f>_xll.Get_Balance(G$85,"PTD","USD","Total","A","","001","447100","ED","AN","DL")</f>
        <v>15815277</v>
      </c>
      <c r="H52" s="14">
        <f>_xll.Get_Balance(H$85,"PTD","USD","Total","A","","001","447100","ED","AN","DL")</f>
        <v>-3816360</v>
      </c>
      <c r="I52" s="14">
        <f>_xll.Get_Balance(I$85,"PTD","USD","Total","A","","001","447100","ED","AN","DL")</f>
        <v>-3223110</v>
      </c>
      <c r="J52" s="14">
        <f>_xll.Get_Balance(J$85,"PTD","USD","Total","A","","001","447100","ED","AN","DL")</f>
        <v>-2013200</v>
      </c>
      <c r="K52" s="14">
        <f>_xll.Get_Balance(K$85,"PTD","USD","Total","A","","001","447100","ED","AN","DL")</f>
        <v>103320</v>
      </c>
      <c r="L52" s="14">
        <f>_xll.Get_Balance(L$85,"PTD","USD","Total","A","","001","447100","ED","AN","DL")</f>
        <v>847284</v>
      </c>
      <c r="M52" s="14">
        <f>_xll.Get_Balance(M$85,"PTD","USD","Total","A","","001","447100","ED","AN","DL")</f>
        <v>0</v>
      </c>
      <c r="N52" s="14">
        <f>_xll.Get_Balance(N$85,"PTD","USD","Total","A","","001","447100","ED","AN","DL")</f>
        <v>0</v>
      </c>
      <c r="O52" s="14">
        <f>_xll.Get_Balance(O$85,"PTD","USD","Total","A","","001","447100","ED","AN","DL")</f>
        <v>0</v>
      </c>
      <c r="P52" s="14">
        <f>_xll.Get_Balance(P$85,"PTD","USD","Total","A","","001","447100","ED","AN","DL")</f>
        <v>0</v>
      </c>
      <c r="Q52" s="134"/>
      <c r="R52" s="116">
        <f t="shared" si="16"/>
        <v>23655125</v>
      </c>
    </row>
    <row r="53" spans="1:18" outlineLevel="2">
      <c r="A53" s="69"/>
      <c r="B53" s="4">
        <v>447150</v>
      </c>
      <c r="D53" s="125">
        <f t="shared" si="15"/>
        <v>-15440204</v>
      </c>
      <c r="E53" s="14">
        <f>_xll.Get_Balance(E$85,"PTD","USD","Total","A","","001","447150","ED","AN","DL")</f>
        <v>-1052740</v>
      </c>
      <c r="F53" s="14">
        <f>_xll.Get_Balance(F$85,"PTD","USD","Total","A","","001","447150","ED","AN","DL")</f>
        <v>-2314837</v>
      </c>
      <c r="G53" s="14">
        <f>_xll.Get_Balance(G$85,"PTD","USD","Total","A","","001","447150","ED","AN","DL")</f>
        <v>-4458320</v>
      </c>
      <c r="H53" s="14">
        <f>_xll.Get_Balance(H$85,"PTD","USD","Total","A","","001","447150","ED","AN","DL")</f>
        <v>-1109013</v>
      </c>
      <c r="I53" s="14">
        <f>_xll.Get_Balance(I$85,"PTD","USD","Total","A","","001","447150","ED","AN","DL")</f>
        <v>-1380032</v>
      </c>
      <c r="J53" s="14">
        <f>_xll.Get_Balance(J$85,"PTD","USD","Total","A","","001","447150","ED","AN","DL")</f>
        <v>-1432404</v>
      </c>
      <c r="K53" s="14">
        <f>_xll.Get_Balance(K$85,"PTD","USD","Total","A","","001","447150","ED","AN","DL")</f>
        <v>-1796712</v>
      </c>
      <c r="L53" s="14">
        <f>_xll.Get_Balance(L$85,"PTD","USD","Total","A","","001","447150","ED","AN","DL")</f>
        <v>-1896146</v>
      </c>
      <c r="M53" s="14">
        <f>_xll.Get_Balance(M$85,"PTD","USD","Total","A","","001","447150","ED","AN","DL")</f>
        <v>0</v>
      </c>
      <c r="N53" s="14">
        <f>_xll.Get_Balance(N$85,"PTD","USD","Total","A","","001","447150","ED","AN","DL")</f>
        <v>0</v>
      </c>
      <c r="O53" s="14">
        <f>_xll.Get_Balance(O$85,"PTD","USD","Total","A","","001","447150","ED","AN","DL")</f>
        <v>0</v>
      </c>
      <c r="P53" s="14">
        <f>_xll.Get_Balance(P$85,"PTD","USD","Total","A","","001","447150","ED","AN","DL")</f>
        <v>0</v>
      </c>
      <c r="Q53" s="134"/>
      <c r="R53" s="116">
        <f t="shared" si="16"/>
        <v>-15440204</v>
      </c>
    </row>
    <row r="54" spans="1:18" outlineLevel="2">
      <c r="A54" s="69"/>
      <c r="B54" s="4">
        <v>447700</v>
      </c>
      <c r="D54" s="125">
        <f t="shared" si="15"/>
        <v>-6038985</v>
      </c>
      <c r="E54" s="14">
        <f>_xll.Get_Balance(E$85,"PTD","USD","Total","A","","001","447700","ED","AN","DL")</f>
        <v>-833441</v>
      </c>
      <c r="F54" s="14">
        <f>_xll.Get_Balance(F$85,"PTD","USD","Total","A","","001","447700","ED","AN","DL")</f>
        <v>-1386328</v>
      </c>
      <c r="G54" s="14">
        <f>_xll.Get_Balance(G$85,"PTD","USD","Total","A","","001","447700","ED","AN","DL")</f>
        <v>-2800022</v>
      </c>
      <c r="H54" s="14">
        <f>_xll.Get_Balance(H$85,"PTD","USD","Total","A","","001","447700","ED","AN","DL")</f>
        <v>-137500</v>
      </c>
      <c r="I54" s="14">
        <f>_xll.Get_Balance(I$85,"PTD","USD","Total","A","","001","447700","ED","AN","DL")</f>
        <v>-237793</v>
      </c>
      <c r="J54" s="14">
        <f>_xll.Get_Balance(J$85,"PTD","USD","Total","A","","001","447700","ED","AN","DL")</f>
        <v>-410906</v>
      </c>
      <c r="K54" s="14">
        <f>_xll.Get_Balance(K$85,"PTD","USD","Total","A","","001","447700","ED","AN","DL")</f>
        <v>-128145</v>
      </c>
      <c r="L54" s="14">
        <f>_xll.Get_Balance(L$85,"PTD","USD","Total","A","","001","447700","ED","AN","DL")</f>
        <v>-104850</v>
      </c>
      <c r="M54" s="14">
        <f>_xll.Get_Balance(M$85,"PTD","USD","Total","A","","001","447700","ED","AN","DL")</f>
        <v>0</v>
      </c>
      <c r="N54" s="14">
        <f>_xll.Get_Balance(N$85,"PTD","USD","Total","A","","001","447700","ED","AN","DL")</f>
        <v>0</v>
      </c>
      <c r="O54" s="14">
        <f>_xll.Get_Balance(O$85,"PTD","USD","Total","A","","001","447700","ED","AN","DL")</f>
        <v>0</v>
      </c>
      <c r="P54" s="14">
        <f>_xll.Get_Balance(P$85,"PTD","USD","Total","A","","001","447700","ED","AN","DL")</f>
        <v>0</v>
      </c>
      <c r="Q54" s="134"/>
      <c r="R54" s="116">
        <f t="shared" si="16"/>
        <v>-6038985</v>
      </c>
    </row>
    <row r="55" spans="1:18" outlineLevel="2">
      <c r="A55" s="69"/>
      <c r="B55" s="4">
        <v>447710</v>
      </c>
      <c r="D55" s="125">
        <f t="shared" si="15"/>
        <v>-1686377</v>
      </c>
      <c r="E55" s="14">
        <f>_xll.Get_Balance(E$85,"PTD","USD","Total","A","","001","447710","ED","AN","DL")</f>
        <v>-214294</v>
      </c>
      <c r="F55" s="14">
        <f>_xll.Get_Balance(F$85,"PTD","USD","Total","A","","001","447710","ED","AN","DL")</f>
        <v>-255268</v>
      </c>
      <c r="G55" s="14">
        <f>_xll.Get_Balance(G$85,"PTD","USD","Total","A","","001","447710","ED","AN","DL")</f>
        <v>-255076</v>
      </c>
      <c r="H55" s="14">
        <f>_xll.Get_Balance(H$85,"PTD","USD","Total","A","","001","447710","ED","AN","DL")</f>
        <v>-175722</v>
      </c>
      <c r="I55" s="14">
        <f>_xll.Get_Balance(I$85,"PTD","USD","Total","A","","001","447710","ED","AN","DL")</f>
        <v>-184130</v>
      </c>
      <c r="J55" s="14">
        <f>_xll.Get_Balance(J$85,"PTD","USD","Total","A","","001","447710","ED","AN","DL")</f>
        <v>-188967</v>
      </c>
      <c r="K55" s="14">
        <f>_xll.Get_Balance(K$85,"PTD","USD","Total","A","","001","447710","ED","AN","DL")</f>
        <v>-204764</v>
      </c>
      <c r="L55" s="14">
        <f>_xll.Get_Balance(L$85,"PTD","USD","Total","A","","001","447710","ED","AN","DL")</f>
        <v>-208156</v>
      </c>
      <c r="M55" s="14">
        <f>_xll.Get_Balance(M$85,"PTD","USD","Total","A","","001","447710","ED","AN","DL")</f>
        <v>0</v>
      </c>
      <c r="N55" s="14">
        <f>_xll.Get_Balance(N$85,"PTD","USD","Total","A","","001","447710","ED","AN","DL")</f>
        <v>0</v>
      </c>
      <c r="O55" s="14">
        <f>_xll.Get_Balance(O$85,"PTD","USD","Total","A","","001","447710","ED","AN","DL")</f>
        <v>0</v>
      </c>
      <c r="P55" s="14">
        <f>_xll.Get_Balance(P$85,"PTD","USD","Total","A","","001","447710","ED","AN","DL")</f>
        <v>0</v>
      </c>
      <c r="Q55" s="134"/>
      <c r="R55" s="116">
        <f t="shared" si="16"/>
        <v>-1686377</v>
      </c>
    </row>
    <row r="56" spans="1:18" outlineLevel="2">
      <c r="A56" s="69"/>
      <c r="B56" s="4">
        <v>447720</v>
      </c>
      <c r="C56" s="3" t="s">
        <v>149</v>
      </c>
      <c r="D56" s="127">
        <f t="shared" si="15"/>
        <v>-11129767</v>
      </c>
      <c r="E56" s="24">
        <f>_xll.Get_Balance(E$85,"PTD","USD","Total","A","","001","447720","ED","AN","DL")</f>
        <v>-1090562</v>
      </c>
      <c r="F56" s="24">
        <f>_xll.Get_Balance(F$85,"PTD","USD","Total","A","","001","447720","ED","AN","DL")</f>
        <v>-1486418</v>
      </c>
      <c r="G56" s="24">
        <f>_xll.Get_Balance(G$85,"PTD","USD","Total","A","","001","447720","ED","AN","DL")</f>
        <v>-1399685</v>
      </c>
      <c r="H56" s="24">
        <f>_xll.Get_Balance(H$85,"PTD","USD","Total","A","","001","447720","ED","AN","DL")</f>
        <v>-1642181</v>
      </c>
      <c r="I56" s="24">
        <f>_xll.Get_Balance(I$85,"PTD","USD","Total","A","","001","447720","ED","AN","DL")</f>
        <v>-1644969</v>
      </c>
      <c r="J56" s="24">
        <f>_xll.Get_Balance(J$85,"PTD","USD","Total","A","","001","447720","ED","AN","DL")</f>
        <v>-1587682</v>
      </c>
      <c r="K56" s="24">
        <f>_xll.Get_Balance(K$85,"PTD","USD","Total","A","","001","447720","ED","AN","DL")</f>
        <v>-1264148</v>
      </c>
      <c r="L56" s="24">
        <f>_xll.Get_Balance(L$85,"PTD","USD","Total","A","","001","447720","ED","AN","DL")</f>
        <v>-1014122</v>
      </c>
      <c r="M56" s="24">
        <f>_xll.Get_Balance(M$85,"PTD","USD","Total","A","","001","447720","ED","AN","DL")</f>
        <v>0</v>
      </c>
      <c r="N56" s="24">
        <f>_xll.Get_Balance(N$85,"PTD","USD","Total","A","","001","447720","ED","AN","DL")</f>
        <v>0</v>
      </c>
      <c r="O56" s="24">
        <f>_xll.Get_Balance(O$85,"PTD","USD","Total","A","","001","447720","ED","AN","DL")</f>
        <v>0</v>
      </c>
      <c r="P56" s="24">
        <f>_xll.Get_Balance(P$85,"PTD","USD","Total","A","","001","447720","ED","AN","DL")</f>
        <v>0</v>
      </c>
      <c r="Q56" s="134"/>
      <c r="R56" s="135">
        <f t="shared" si="16"/>
        <v>-11129767</v>
      </c>
    </row>
    <row r="57" spans="1:18" s="26" customFormat="1" outlineLevel="2">
      <c r="A57" s="129"/>
      <c r="D57" s="35">
        <f t="shared" si="15"/>
        <v>-58264059</v>
      </c>
      <c r="E57" s="25">
        <f t="shared" ref="E57:P57" si="17">SUM(E50:E56)</f>
        <v>-6954796</v>
      </c>
      <c r="F57" s="25">
        <f t="shared" si="17"/>
        <v>-3700447</v>
      </c>
      <c r="G57" s="25">
        <f t="shared" si="17"/>
        <v>-7976187</v>
      </c>
      <c r="H57" s="25">
        <f t="shared" si="17"/>
        <v>-10773352</v>
      </c>
      <c r="I57" s="25">
        <f t="shared" si="17"/>
        <v>-9218088</v>
      </c>
      <c r="J57" s="25">
        <f t="shared" si="17"/>
        <v>-7641075</v>
      </c>
      <c r="K57" s="25">
        <f t="shared" si="17"/>
        <v>-6615371</v>
      </c>
      <c r="L57" s="25">
        <f t="shared" si="17"/>
        <v>-5384743</v>
      </c>
      <c r="M57" s="25">
        <f>SUM(M50:M56)</f>
        <v>0</v>
      </c>
      <c r="N57" s="25">
        <f t="shared" si="17"/>
        <v>0</v>
      </c>
      <c r="O57" s="25">
        <f t="shared" si="17"/>
        <v>0</v>
      </c>
      <c r="P57" s="25">
        <f t="shared" si="17"/>
        <v>0</v>
      </c>
      <c r="Q57" s="136"/>
      <c r="R57" s="35">
        <f>SUM(R50:R56)</f>
        <v>-59145206</v>
      </c>
    </row>
    <row r="58" spans="1:18" outlineLevel="2">
      <c r="A58" s="69"/>
      <c r="E58" s="125"/>
      <c r="F58" s="125"/>
      <c r="G58" s="21"/>
      <c r="H58" s="21"/>
      <c r="I58" s="21"/>
      <c r="J58" s="21"/>
      <c r="K58" s="21"/>
      <c r="L58" s="21"/>
      <c r="M58" s="21"/>
      <c r="N58" s="21"/>
      <c r="O58" s="21"/>
      <c r="P58" s="21"/>
      <c r="Q58" s="134"/>
      <c r="R58" s="125"/>
    </row>
    <row r="59" spans="1:18">
      <c r="A59" s="69"/>
      <c r="B59" s="53" t="s">
        <v>15</v>
      </c>
      <c r="C59" s="53"/>
      <c r="E59" s="21"/>
      <c r="F59" s="21"/>
      <c r="G59" s="21"/>
      <c r="H59" s="21"/>
      <c r="I59" s="21"/>
      <c r="J59" s="21"/>
      <c r="K59" s="21"/>
      <c r="L59" s="21"/>
      <c r="M59" s="21"/>
      <c r="N59" s="21"/>
      <c r="O59" s="21"/>
      <c r="P59" s="21"/>
      <c r="Q59" s="134"/>
      <c r="R59" s="125"/>
    </row>
    <row r="60" spans="1:18">
      <c r="A60" s="69">
        <f>A46+1</f>
        <v>24</v>
      </c>
      <c r="B60" s="3" t="s">
        <v>88</v>
      </c>
      <c r="C60" s="3"/>
      <c r="D60" s="125">
        <f>SUM(E60:P60)</f>
        <v>3567160</v>
      </c>
      <c r="E60" s="14">
        <f>_xll.Get_Balance(E$85,"PTD","USD","Total","A","","001","501110","ED","AN","DL")</f>
        <v>776613</v>
      </c>
      <c r="F60" s="14">
        <f>_xll.Get_Balance(F$85,"PTD","USD","Total","A","","001","501110","ED","AN","DL")</f>
        <v>610601</v>
      </c>
      <c r="G60" s="14">
        <f>_xll.Get_Balance(G$85,"PTD","USD","Total","A","","001","501110","ED","AN","DL")</f>
        <v>632850</v>
      </c>
      <c r="H60" s="14">
        <f>_xll.Get_Balance(H$85,"PTD","USD","Total","A","","001","501110","ED","AN","DL")</f>
        <v>-22216</v>
      </c>
      <c r="I60" s="14">
        <f>_xll.Get_Balance(I$85,"PTD","USD","Total","A","","001","501110","ED","AN","DL")</f>
        <v>0</v>
      </c>
      <c r="J60" s="14">
        <f>_xll.Get_Balance(J$85,"PTD","USD","Total","A","","001","501110","ED","AN","DL")</f>
        <v>272220</v>
      </c>
      <c r="K60" s="14">
        <f>_xll.Get_Balance(K$85,"PTD","USD","Total","A","","001","501110","ED","AN","DL")</f>
        <v>656265</v>
      </c>
      <c r="L60" s="14">
        <f>_xll.Get_Balance(L$85,"PTD","USD","Total","A","","001","501110","ED","AN","DL")</f>
        <v>640827</v>
      </c>
      <c r="M60" s="14">
        <f>_xll.Get_Balance(M$85,"PTD","USD","Total","A","","001","501110","ED","AN","DL")</f>
        <v>0</v>
      </c>
      <c r="N60" s="14">
        <f>_xll.Get_Balance(N$85,"PTD","USD","Total","A","","001","501110","ED","AN","DL")</f>
        <v>0</v>
      </c>
      <c r="O60" s="14">
        <f>_xll.Get_Balance(O$85,"PTD","USD","Total","A","","001","501110","ED","AN","DL")</f>
        <v>0</v>
      </c>
      <c r="P60" s="14">
        <f>_xll.Get_Balance(P$85,"PTD","USD","Total","A","","001","501110","ED","AN","DL")</f>
        <v>0</v>
      </c>
      <c r="Q60" s="137"/>
      <c r="R60" s="36">
        <f>SUM(E60:P60)</f>
        <v>3567160</v>
      </c>
    </row>
    <row r="61" spans="1:18">
      <c r="A61" s="69">
        <f>+A60+1</f>
        <v>25</v>
      </c>
      <c r="B61" s="3" t="s">
        <v>87</v>
      </c>
      <c r="C61" s="3"/>
      <c r="D61" s="125">
        <f>SUM(E61:P61)</f>
        <v>3526</v>
      </c>
      <c r="E61" s="14">
        <f>_xll.Get_Balance(E$85,"PTD","USD","Total","A","","001","501120","ED","AN","DL")</f>
        <v>788</v>
      </c>
      <c r="F61" s="14">
        <f>_xll.Get_Balance(F$85,"PTD","USD","Total","A","","001","501120","ED","AN","DL")</f>
        <v>5300</v>
      </c>
      <c r="G61" s="14">
        <f>_xll.Get_Balance(G$85,"PTD","USD","Total","A","","001","501120","ED","AN","DL")</f>
        <v>-3247</v>
      </c>
      <c r="H61" s="14">
        <f>_xll.Get_Balance(H$85,"PTD","USD","Total","A","","001","501120","ED","AN","DL")</f>
        <v>20</v>
      </c>
      <c r="I61" s="14">
        <f>_xll.Get_Balance(I$85,"PTD","USD","Total","A","","001","501120","ED","AN","DL")</f>
        <v>-5519</v>
      </c>
      <c r="J61" s="14">
        <f>_xll.Get_Balance(J$85,"PTD","USD","Total","A","","001","501120","ED","AN","DL")</f>
        <v>6030</v>
      </c>
      <c r="K61" s="14">
        <f>_xll.Get_Balance(K$85,"PTD","USD","Total","A","","001","501120","ED","AN","DL")</f>
        <v>162</v>
      </c>
      <c r="L61" s="14">
        <f>_xll.Get_Balance(L$85,"PTD","USD","Total","A","","001","501120","ED","AN","DL")</f>
        <v>-8</v>
      </c>
      <c r="M61" s="14">
        <f>_xll.Get_Balance(M$85,"PTD","USD","Total","A","","001","501120","ED","AN","DL")</f>
        <v>0</v>
      </c>
      <c r="N61" s="14">
        <f>_xll.Get_Balance(N$85,"PTD","USD","Total","A","","001","501120","ED","AN","DL")</f>
        <v>0</v>
      </c>
      <c r="O61" s="14">
        <f>_xll.Get_Balance(O$85,"PTD","USD","Total","A","","001","501120","ED","AN","DL")</f>
        <v>0</v>
      </c>
      <c r="P61" s="14">
        <f>_xll.Get_Balance(P$85,"PTD","USD","Total","A","","001","501120","ED","AN","DL")</f>
        <v>0</v>
      </c>
      <c r="Q61" s="137"/>
      <c r="R61" s="36">
        <f>SUM(E61:P61)</f>
        <v>3526</v>
      </c>
    </row>
    <row r="62" spans="1:18">
      <c r="A62" s="69">
        <f>+A61+1</f>
        <v>26</v>
      </c>
      <c r="B62" s="5" t="s">
        <v>47</v>
      </c>
      <c r="C62" s="5"/>
      <c r="D62" s="125">
        <f>SUM(E62:P62)</f>
        <v>15457672</v>
      </c>
      <c r="E62" s="14">
        <f>_xll.Get_Balance(E$85,"PTD","USD","Total","A","","001","501140","ED","AN","DL")</f>
        <v>2068317</v>
      </c>
      <c r="F62" s="14">
        <f>_xll.Get_Balance(F$85,"PTD","USD","Total","A","","001","501140","ED","AN","DL")</f>
        <v>857176</v>
      </c>
      <c r="G62" s="14">
        <f>_xll.Get_Balance(G$85,"PTD","USD","Total","A","","001","501140","ED","AN","DL")</f>
        <v>2215754</v>
      </c>
      <c r="H62" s="14">
        <f>_xll.Get_Balance(H$85,"PTD","USD","Total","A","","001","501140","ED","AN","DL")</f>
        <v>2009290</v>
      </c>
      <c r="I62" s="14">
        <f>_xll.Get_Balance(I$85,"PTD","USD","Total","A","","001","501140","ED","AN","DL")</f>
        <v>1172871</v>
      </c>
      <c r="J62" s="14">
        <f>_xll.Get_Balance(J$85,"PTD","USD","Total","A","","001","501140","ED","AN","DL")</f>
        <v>1573569</v>
      </c>
      <c r="K62" s="14">
        <f>_xll.Get_Balance(K$85,"PTD","USD","Total","A","","001","501140","ED","AN","DL")</f>
        <v>1691988</v>
      </c>
      <c r="L62" s="14">
        <f>_xll.Get_Balance(L$85,"PTD","USD","Total","A","","001","501140","ED","AN","DL")</f>
        <v>3868707</v>
      </c>
      <c r="M62" s="14">
        <f>_xll.Get_Balance(M$85,"PTD","USD","Total","A","","001","501140","ED","AN","DL")</f>
        <v>0</v>
      </c>
      <c r="N62" s="14">
        <f>_xll.Get_Balance(N$85,"PTD","USD","Total","A","","001","501140","ED","AN","DL")</f>
        <v>0</v>
      </c>
      <c r="O62" s="14">
        <f>_xll.Get_Balance(O$85,"PTD","USD","Total","A","","001","501140","ED","AN","DL")</f>
        <v>0</v>
      </c>
      <c r="P62" s="14">
        <f>_xll.Get_Balance(P$85,"PTD","USD","Total","A","","001","501140","ED","AN","DL")</f>
        <v>0</v>
      </c>
      <c r="Q62" s="137"/>
      <c r="R62" s="138">
        <f>SUM(E62:P62)</f>
        <v>15457672</v>
      </c>
    </row>
    <row r="63" spans="1:18">
      <c r="A63" s="69">
        <f>+A62+1</f>
        <v>27</v>
      </c>
      <c r="B63" s="5" t="s">
        <v>46</v>
      </c>
      <c r="C63" s="5"/>
      <c r="D63" s="125">
        <f>SUM(E63:P63)</f>
        <v>152451</v>
      </c>
      <c r="E63" s="14">
        <f>_xll.Get_Balance(E$85,"PTD","USD","Total","A","","001","501160","ED","AN","DL")</f>
        <v>20662</v>
      </c>
      <c r="F63" s="14">
        <f>_xll.Get_Balance(F$85,"PTD","USD","Total","A","","001","501160","ED","AN","DL")</f>
        <v>16718</v>
      </c>
      <c r="G63" s="14">
        <f>_xll.Get_Balance(G$85,"PTD","USD","Total","A","","001","501160","ED","AN","DL")</f>
        <v>22282</v>
      </c>
      <c r="H63" s="14">
        <f>_xll.Get_Balance(H$85,"PTD","USD","Total","A","","001","501160","ED","AN","DL")</f>
        <v>6678</v>
      </c>
      <c r="I63" s="14">
        <f>_xll.Get_Balance(I$85,"PTD","USD","Total","A","","001","501160","ED","AN","DL")</f>
        <v>4134</v>
      </c>
      <c r="J63" s="14">
        <f>_xll.Get_Balance(J$85,"PTD","USD","Total","A","","001","501160","ED","AN","DL")</f>
        <v>41037</v>
      </c>
      <c r="K63" s="14">
        <f>_xll.Get_Balance(K$85,"PTD","USD","Total","A","","001","501160","ED","AN","DL")</f>
        <v>17069</v>
      </c>
      <c r="L63" s="14">
        <f>_xll.Get_Balance(L$85,"PTD","USD","Total","A","","001","501160","ED","AN","DL")</f>
        <v>23871</v>
      </c>
      <c r="M63" s="14">
        <f>_xll.Get_Balance(M$85,"PTD","USD","Total","A","","001","501160","ED","AN","DL")</f>
        <v>0</v>
      </c>
      <c r="N63" s="14">
        <f>_xll.Get_Balance(N$85,"PTD","USD","Total","A","","001","501160","ED","AN","DL")</f>
        <v>0</v>
      </c>
      <c r="O63" s="14">
        <f>_xll.Get_Balance(O$85,"PTD","USD","Total","A","","001","501160","ED","AN","DL")</f>
        <v>0</v>
      </c>
      <c r="P63" s="14">
        <f>_xll.Get_Balance(P$85,"PTD","USD","Total","A","","001","501160","ED","AN","DL")</f>
        <v>0</v>
      </c>
      <c r="Q63" s="137"/>
      <c r="R63" s="138">
        <f>SUM(E63:P63)</f>
        <v>152451</v>
      </c>
    </row>
    <row r="64" spans="1:18" s="26" customFormat="1" ht="27.75" customHeight="1" thickBot="1">
      <c r="A64" s="122">
        <f>+A63+1</f>
        <v>28</v>
      </c>
      <c r="B64" s="54" t="s">
        <v>78</v>
      </c>
      <c r="C64" s="54"/>
      <c r="D64" s="34">
        <f>SUM(E64:P64)</f>
        <v>19180809</v>
      </c>
      <c r="E64" s="16">
        <f>SUM(E60:E63)</f>
        <v>2866380</v>
      </c>
      <c r="F64" s="16">
        <f t="shared" ref="F64:P64" si="18">SUM(F60:F63)</f>
        <v>1489795</v>
      </c>
      <c r="G64" s="16">
        <f t="shared" si="18"/>
        <v>2867639</v>
      </c>
      <c r="H64" s="16">
        <f t="shared" si="18"/>
        <v>1993772</v>
      </c>
      <c r="I64" s="16">
        <f t="shared" si="18"/>
        <v>1171486</v>
      </c>
      <c r="J64" s="16">
        <f t="shared" si="18"/>
        <v>1892856</v>
      </c>
      <c r="K64" s="16">
        <f t="shared" si="18"/>
        <v>2365484</v>
      </c>
      <c r="L64" s="16">
        <f t="shared" si="18"/>
        <v>4533397</v>
      </c>
      <c r="M64" s="16">
        <f t="shared" si="18"/>
        <v>0</v>
      </c>
      <c r="N64" s="16">
        <f t="shared" si="18"/>
        <v>0</v>
      </c>
      <c r="O64" s="16">
        <f t="shared" si="18"/>
        <v>0</v>
      </c>
      <c r="P64" s="16">
        <f t="shared" si="18"/>
        <v>0</v>
      </c>
      <c r="Q64" s="139"/>
      <c r="R64" s="124">
        <f>SUM(E64:P64)</f>
        <v>19180809</v>
      </c>
    </row>
    <row r="65" spans="1:18" ht="13.5" thickTop="1">
      <c r="A65" s="69"/>
      <c r="E65" s="21"/>
      <c r="F65" s="21"/>
      <c r="G65" s="21"/>
      <c r="H65" s="21"/>
      <c r="I65" s="21"/>
      <c r="J65" s="21"/>
      <c r="K65" s="21"/>
      <c r="L65" s="21"/>
      <c r="M65" s="21"/>
      <c r="N65" s="21"/>
      <c r="O65" s="21"/>
      <c r="P65" s="21"/>
      <c r="Q65" s="133"/>
    </row>
    <row r="66" spans="1:18" ht="18.75" customHeight="1">
      <c r="A66" s="69"/>
      <c r="B66" s="53" t="s">
        <v>23</v>
      </c>
      <c r="C66" s="53"/>
      <c r="E66" s="21"/>
      <c r="F66" s="21"/>
      <c r="G66" s="21"/>
      <c r="H66" s="21"/>
      <c r="I66" s="21"/>
      <c r="J66" s="21"/>
      <c r="K66" s="21"/>
      <c r="L66" s="21"/>
      <c r="M66" s="21"/>
      <c r="N66" s="21"/>
      <c r="O66" s="21"/>
      <c r="P66" s="21"/>
      <c r="Q66" s="133"/>
    </row>
    <row r="67" spans="1:18">
      <c r="A67" s="69">
        <f>A64+1</f>
        <v>29</v>
      </c>
      <c r="B67" s="4" t="s">
        <v>16</v>
      </c>
      <c r="C67" s="3" t="s">
        <v>113</v>
      </c>
      <c r="D67" s="140">
        <f>SUM(E67:P67)</f>
        <v>288592</v>
      </c>
      <c r="E67" s="141">
        <f>'Input Tab'!C50</f>
        <v>55618</v>
      </c>
      <c r="F67" s="141">
        <f>'Input Tab'!D50</f>
        <v>49341</v>
      </c>
      <c r="G67" s="141">
        <f>'Input Tab'!E50</f>
        <v>52895</v>
      </c>
      <c r="H67" s="141">
        <f>'Input Tab'!F50</f>
        <v>0</v>
      </c>
      <c r="I67" s="141">
        <f>'Input Tab'!G50</f>
        <v>0</v>
      </c>
      <c r="J67" s="141">
        <f>'Input Tab'!H50</f>
        <v>22799</v>
      </c>
      <c r="K67" s="141">
        <f>'Input Tab'!I50</f>
        <v>54446</v>
      </c>
      <c r="L67" s="141">
        <f>'Input Tab'!J50</f>
        <v>53493</v>
      </c>
      <c r="M67" s="141">
        <f>'Input Tab'!K50</f>
        <v>0</v>
      </c>
      <c r="N67" s="141">
        <f>'Input Tab'!L50</f>
        <v>0</v>
      </c>
      <c r="O67" s="141">
        <f>'Input Tab'!M50</f>
        <v>0</v>
      </c>
      <c r="P67" s="141">
        <f>'Input Tab'!N50</f>
        <v>0</v>
      </c>
      <c r="Q67" s="133"/>
      <c r="R67" s="142">
        <f>SUM(E67:P67)</f>
        <v>288592</v>
      </c>
    </row>
    <row r="68" spans="1:18">
      <c r="A68" s="69">
        <f>A67+1</f>
        <v>30</v>
      </c>
      <c r="B68" s="4" t="s">
        <v>25</v>
      </c>
      <c r="C68" s="3" t="s">
        <v>112</v>
      </c>
      <c r="D68" s="140">
        <f>SUM(E68:P68)</f>
        <v>635515</v>
      </c>
      <c r="E68" s="141">
        <f>'Input Tab'!C51</f>
        <v>94382</v>
      </c>
      <c r="F68" s="141">
        <f>'Input Tab'!D51</f>
        <v>84400</v>
      </c>
      <c r="G68" s="141">
        <f>'Input Tab'!E51</f>
        <v>99623</v>
      </c>
      <c r="H68" s="141">
        <f>'Input Tab'!F51</f>
        <v>69067</v>
      </c>
      <c r="I68" s="141">
        <f>'Input Tab'!G51</f>
        <v>42755</v>
      </c>
      <c r="J68" s="141">
        <f>'Input Tab'!H51</f>
        <v>66682</v>
      </c>
      <c r="K68" s="141">
        <f>'Input Tab'!I51</f>
        <v>79898</v>
      </c>
      <c r="L68" s="141">
        <f>'Input Tab'!J51</f>
        <v>98708</v>
      </c>
      <c r="M68" s="141">
        <f>'Input Tab'!K51</f>
        <v>0</v>
      </c>
      <c r="N68" s="141">
        <f>'Input Tab'!L51</f>
        <v>0</v>
      </c>
      <c r="O68" s="141">
        <f>'Input Tab'!M51</f>
        <v>0</v>
      </c>
      <c r="P68" s="141">
        <f>'Input Tab'!N51</f>
        <v>0</v>
      </c>
      <c r="Q68" s="133"/>
      <c r="R68" s="142">
        <f>SUM(E68:P68)</f>
        <v>635515</v>
      </c>
    </row>
    <row r="69" spans="1:18">
      <c r="A69" s="69"/>
      <c r="E69" s="21"/>
      <c r="F69" s="21"/>
      <c r="G69" s="21"/>
      <c r="H69" s="21"/>
      <c r="I69" s="21"/>
      <c r="J69" s="21"/>
      <c r="K69" s="21"/>
      <c r="L69" s="21"/>
      <c r="M69" s="21"/>
      <c r="N69" s="21"/>
      <c r="O69" s="21"/>
      <c r="P69" s="21"/>
      <c r="Q69" s="133"/>
    </row>
    <row r="70" spans="1:18" ht="21" customHeight="1">
      <c r="A70" s="69"/>
      <c r="B70" s="53" t="s">
        <v>26</v>
      </c>
      <c r="C70" s="53"/>
      <c r="E70" s="21"/>
      <c r="F70" s="21"/>
      <c r="G70" s="21"/>
      <c r="H70" s="21"/>
      <c r="I70" s="21"/>
      <c r="J70" s="21"/>
      <c r="K70" s="21"/>
      <c r="L70" s="21"/>
      <c r="M70" s="21"/>
      <c r="N70" s="21"/>
      <c r="O70" s="21"/>
      <c r="P70" s="21"/>
      <c r="Q70" s="133"/>
    </row>
    <row r="71" spans="1:18">
      <c r="A71" s="69">
        <f>A68+1</f>
        <v>31</v>
      </c>
      <c r="B71" s="4" t="s">
        <v>16</v>
      </c>
      <c r="D71" s="143" t="s">
        <v>17</v>
      </c>
      <c r="E71" s="144">
        <f>IF(E67=0," ",E60/E67)</f>
        <v>13.96</v>
      </c>
      <c r="F71" s="144">
        <f>IF(F67=0," ",F60/F67)</f>
        <v>12.38</v>
      </c>
      <c r="G71" s="144">
        <f>IF(G67=0," ",G60/G67)</f>
        <v>11.96</v>
      </c>
      <c r="H71" s="144" t="str">
        <f t="shared" ref="H71:P71" si="19">IF(H67=0," ",H60/H67)</f>
        <v xml:space="preserve"> </v>
      </c>
      <c r="I71" s="144" t="str">
        <f>IF(I67=0," ",I60/I67)</f>
        <v xml:space="preserve"> </v>
      </c>
      <c r="J71" s="144">
        <f t="shared" si="19"/>
        <v>11.94</v>
      </c>
      <c r="K71" s="144">
        <f>IF(K67=0," ",K60/K67)</f>
        <v>12.05</v>
      </c>
      <c r="L71" s="144">
        <f t="shared" si="19"/>
        <v>11.98</v>
      </c>
      <c r="M71" s="144" t="str">
        <f t="shared" si="19"/>
        <v xml:space="preserve"> </v>
      </c>
      <c r="N71" s="144" t="str">
        <f t="shared" si="19"/>
        <v xml:space="preserve"> </v>
      </c>
      <c r="O71" s="144" t="str">
        <f t="shared" si="19"/>
        <v xml:space="preserve"> </v>
      </c>
      <c r="P71" s="144" t="str">
        <f t="shared" si="19"/>
        <v xml:space="preserve"> </v>
      </c>
      <c r="Q71" s="145"/>
      <c r="R71" s="146">
        <f>R60/R67</f>
        <v>12.36</v>
      </c>
    </row>
    <row r="72" spans="1:18">
      <c r="A72" s="69">
        <f>A71+1</f>
        <v>32</v>
      </c>
      <c r="B72" s="4" t="s">
        <v>19</v>
      </c>
      <c r="D72" s="69" t="s">
        <v>18</v>
      </c>
      <c r="E72" s="144">
        <f>IF(E68=0," ",E62/E68)</f>
        <v>21.91</v>
      </c>
      <c r="F72" s="144">
        <f>IF(F68=0," ",F62/F68)</f>
        <v>10.16</v>
      </c>
      <c r="G72" s="144">
        <f t="shared" ref="G72:P72" si="20">IF(G68=0," ",G62/G68)</f>
        <v>22.24</v>
      </c>
      <c r="H72" s="144">
        <f t="shared" si="20"/>
        <v>29.09</v>
      </c>
      <c r="I72" s="144">
        <f>IF(I68=0," ",I62/I68)</f>
        <v>27.43</v>
      </c>
      <c r="J72" s="144">
        <f t="shared" si="20"/>
        <v>23.6</v>
      </c>
      <c r="K72" s="144">
        <f t="shared" si="20"/>
        <v>21.18</v>
      </c>
      <c r="L72" s="144">
        <f t="shared" si="20"/>
        <v>39.19</v>
      </c>
      <c r="M72" s="144" t="str">
        <f t="shared" si="20"/>
        <v xml:space="preserve"> </v>
      </c>
      <c r="N72" s="144" t="str">
        <f t="shared" si="20"/>
        <v xml:space="preserve"> </v>
      </c>
      <c r="O72" s="144" t="str">
        <f t="shared" si="20"/>
        <v xml:space="preserve"> </v>
      </c>
      <c r="P72" s="144" t="str">
        <f t="shared" si="20"/>
        <v xml:space="preserve"> </v>
      </c>
      <c r="Q72" s="145"/>
      <c r="R72" s="146">
        <f>R62/R68</f>
        <v>24.32</v>
      </c>
    </row>
    <row r="73" spans="1:18">
      <c r="A73" s="69"/>
      <c r="E73" s="21"/>
      <c r="F73" s="21"/>
      <c r="G73" s="21"/>
      <c r="H73" s="21"/>
      <c r="I73" s="21"/>
      <c r="J73" s="21"/>
      <c r="K73" s="21"/>
      <c r="L73" s="21"/>
      <c r="M73" s="21"/>
      <c r="N73" s="21"/>
      <c r="O73" s="21"/>
      <c r="P73" s="21"/>
      <c r="Q73" s="133"/>
    </row>
    <row r="74" spans="1:18">
      <c r="A74" s="69"/>
      <c r="B74" s="53" t="s">
        <v>20</v>
      </c>
      <c r="C74" s="53"/>
      <c r="E74" s="21"/>
      <c r="F74" s="21"/>
      <c r="G74" s="21"/>
      <c r="H74" s="21"/>
      <c r="I74" s="21"/>
      <c r="J74" s="21"/>
      <c r="K74" s="21"/>
      <c r="L74" s="21"/>
      <c r="M74" s="21"/>
      <c r="N74" s="21"/>
      <c r="O74" s="21"/>
      <c r="P74" s="21"/>
      <c r="Q74" s="133"/>
    </row>
    <row r="75" spans="1:18">
      <c r="A75" s="69">
        <f>A72+1</f>
        <v>33</v>
      </c>
      <c r="B75" s="4" t="s">
        <v>57</v>
      </c>
      <c r="D75" s="125">
        <f t="shared" ref="D75:D81" si="21">SUM(E75:P75)</f>
        <v>47403</v>
      </c>
      <c r="E75" s="14">
        <f>_xll.Get_Balance(E$85,"PTD","USD","Total","A","","001","547213","ED","AN","DL")</f>
        <v>-152</v>
      </c>
      <c r="F75" s="14">
        <f>_xll.Get_Balance(F$85,"PTD","USD","Total","A","","001","547213","ED","AN","DL")</f>
        <v>2307</v>
      </c>
      <c r="G75" s="14">
        <f>_xll.Get_Balance(G$85,"PTD","USD","Total","A","","001","547213","ED","AN","DL")</f>
        <v>10489</v>
      </c>
      <c r="H75" s="14">
        <f>_xll.Get_Balance(H$85,"PTD","USD","Total","A","","001","547213","ED","AN","DL")</f>
        <v>23648</v>
      </c>
      <c r="I75" s="14">
        <f>_xll.Get_Balance(I$85,"PTD","USD","Total","A","","001","547213","ED","AN","DL")</f>
        <v>-2426</v>
      </c>
      <c r="J75" s="14">
        <f>_xll.Get_Balance(J$85,"PTD","USD","Total","A","","001","547213","ED","AN","DL")</f>
        <v>13904</v>
      </c>
      <c r="K75" s="14">
        <f>_xll.Get_Balance(K$85,"PTD","USD","Total","A","","001","547213","ED","AN","DL")</f>
        <v>-1050</v>
      </c>
      <c r="L75" s="14">
        <f>_xll.Get_Balance(L$85,"PTD","USD","Total","A","","001","547213","ED","AN","DL")</f>
        <v>683</v>
      </c>
      <c r="M75" s="14">
        <f>_xll.Get_Balance(M$85,"PTD","USD","Total","A","","001","547213","ED","AN","DL")</f>
        <v>0</v>
      </c>
      <c r="N75" s="14">
        <f>_xll.Get_Balance(N$85,"PTD","USD","Total","A","","001","547213","ED","AN","DL")</f>
        <v>0</v>
      </c>
      <c r="O75" s="14">
        <f>_xll.Get_Balance(O$85,"PTD","USD","Total","A","","001","547213","ED","AN","DL")</f>
        <v>0</v>
      </c>
      <c r="P75" s="14">
        <f>_xll.Get_Balance(P$85,"PTD","USD","Total","A","","001","547213","ED","AN","DL")</f>
        <v>0</v>
      </c>
      <c r="Q75" s="147"/>
      <c r="R75" s="148">
        <f t="shared" ref="R75:R80" si="22">SUM(E75:P75)</f>
        <v>47403</v>
      </c>
    </row>
    <row r="76" spans="1:18">
      <c r="A76" s="69">
        <f t="shared" ref="A76:A81" si="23">A75+1</f>
        <v>34</v>
      </c>
      <c r="B76" s="4" t="s">
        <v>50</v>
      </c>
      <c r="D76" s="125">
        <f t="shared" si="21"/>
        <v>776842</v>
      </c>
      <c r="E76" s="14">
        <f>_xll.Get_Balance(E$85,"PTD","USD","Total","A","","001","547216","ED","AN","DL")</f>
        <v>30234</v>
      </c>
      <c r="F76" s="14">
        <f>_xll.Get_Balance(F$85,"PTD","USD","Total","A","","001","547216","ED","AN","DL")</f>
        <v>205334</v>
      </c>
      <c r="G76" s="14">
        <f>_xll.Get_Balance(G$85,"PTD","USD","Total","A","","001","547216","ED","AN","DL")</f>
        <v>152890</v>
      </c>
      <c r="H76" s="14">
        <f>_xll.Get_Balance(H$85,"PTD","USD","Total","A","","001","547216","ED","AN","DL")</f>
        <v>10113</v>
      </c>
      <c r="I76" s="14">
        <f>_xll.Get_Balance(I$85,"PTD","USD","Total","A","","001","547216","ED","AN","DL")</f>
        <v>14935</v>
      </c>
      <c r="J76" s="14">
        <f>_xll.Get_Balance(J$85,"PTD","USD","Total","A","","001","547216","ED","AN","DL")</f>
        <v>54616</v>
      </c>
      <c r="K76" s="14">
        <f>_xll.Get_Balance(K$85,"PTD","USD","Total","A","","001","547216","ED","AN","DL")</f>
        <v>100795</v>
      </c>
      <c r="L76" s="14">
        <f>_xll.Get_Balance(L$85,"PTD","USD","Total","A","","001","547216","ED","AN","DL")</f>
        <v>207925</v>
      </c>
      <c r="M76" s="14">
        <f>_xll.Get_Balance(M$85,"PTD","USD","Total","A","","001","547216","ED","AN","DL")</f>
        <v>0</v>
      </c>
      <c r="N76" s="14">
        <f>_xll.Get_Balance(N$85,"PTD","USD","Total","A","","001","547216","ED","AN","DL")</f>
        <v>0</v>
      </c>
      <c r="O76" s="14">
        <f>_xll.Get_Balance(O$85,"PTD","USD","Total","A","","001","547216","ED","AN","DL")</f>
        <v>0</v>
      </c>
      <c r="P76" s="14">
        <f>_xll.Get_Balance(P$85,"PTD","USD","Total","A","","001","547216","ED","AN","DL")</f>
        <v>0</v>
      </c>
      <c r="Q76" s="147"/>
      <c r="R76" s="148">
        <f t="shared" si="22"/>
        <v>776842</v>
      </c>
    </row>
    <row r="77" spans="1:18">
      <c r="A77" s="69">
        <f t="shared" si="23"/>
        <v>35</v>
      </c>
      <c r="B77" s="4" t="s">
        <v>49</v>
      </c>
      <c r="D77" s="125">
        <f t="shared" si="21"/>
        <v>203018</v>
      </c>
      <c r="E77" s="14">
        <f>_xll.Get_Balance(E85,"PTD","USD","Total","A","","001","547211","ED","AN","DL")</f>
        <v>6111</v>
      </c>
      <c r="F77" s="14">
        <f>_xll.Get_Balance(F85,"PTD","USD","Total","A","","001","547211","ED","AN","DL")</f>
        <v>72905</v>
      </c>
      <c r="G77" s="14">
        <f>_xll.Get_Balance(G85,"PTD","USD","Total","A","","001","547211","ED","AN","DL")</f>
        <v>35599</v>
      </c>
      <c r="H77" s="14">
        <f>_xll.Get_Balance(H85,"PTD","USD","Total","A","","001","547211","ED","AN","DL")</f>
        <v>-47</v>
      </c>
      <c r="I77" s="14">
        <f>_xll.Get_Balance(I85,"PTD","USD","Total","A","","001","547211","ED","AN","DL")</f>
        <v>4027</v>
      </c>
      <c r="J77" s="14">
        <f>_xll.Get_Balance(J85,"PTD","USD","Total","A","","001","547211","ED","AN","DL")</f>
        <v>8818</v>
      </c>
      <c r="K77" s="14">
        <f>_xll.Get_Balance(K85,"PTD","USD","Total","A","","001","547211","ED","AN","DL")</f>
        <v>27249</v>
      </c>
      <c r="L77" s="14">
        <f>_xll.Get_Balance(L85,"PTD","USD","Total","A","","001","547211","ED","AN","DL")</f>
        <v>48356</v>
      </c>
      <c r="M77" s="14">
        <f>_xll.Get_Balance(M85,"PTD","USD","Total","A","","001","547211","ED","AN","DL")</f>
        <v>0</v>
      </c>
      <c r="N77" s="14">
        <f>_xll.Get_Balance(N85,"PTD","USD","Total","A","","001","547211","ED","AN","DL")</f>
        <v>0</v>
      </c>
      <c r="O77" s="14">
        <f>_xll.Get_Balance(O85,"PTD","USD","Total","A","","001","547211","ED","AN","DL")</f>
        <v>0</v>
      </c>
      <c r="P77" s="14">
        <f>_xll.Get_Balance(P85,"PTD","USD","Total","A","","001","547211","ED","AN","DL")</f>
        <v>0</v>
      </c>
      <c r="Q77" s="147"/>
      <c r="R77" s="148">
        <f t="shared" si="22"/>
        <v>203018</v>
      </c>
    </row>
    <row r="78" spans="1:18">
      <c r="A78" s="69">
        <f t="shared" si="23"/>
        <v>36</v>
      </c>
      <c r="B78" s="4" t="s">
        <v>51</v>
      </c>
      <c r="D78" s="125">
        <f t="shared" si="21"/>
        <v>20447340</v>
      </c>
      <c r="E78" s="14">
        <f>_xll.Get_Balance(E$85,"PTD","USD","Total","A","","001","547610","ED","AN","DL")</f>
        <v>2612337</v>
      </c>
      <c r="F78" s="14">
        <f>_xll.Get_Balance(F$85,"PTD","USD","Total","A","","001","547610","ED","AN","DL")</f>
        <v>5587117</v>
      </c>
      <c r="G78" s="14">
        <f>_xll.Get_Balance(G$85,"PTD","USD","Total","A","","001","547610","ED","AN","DL")</f>
        <v>3604314</v>
      </c>
      <c r="H78" s="14">
        <f>_xll.Get_Balance(H$85,"PTD","USD","Total","A","","001","547610","ED","AN","DL")</f>
        <v>1817341</v>
      </c>
      <c r="I78" s="14">
        <f>_xll.Get_Balance(I$85,"PTD","USD","Total","A","","001","547610","ED","AN","DL")</f>
        <v>653380</v>
      </c>
      <c r="J78" s="14">
        <f>_xll.Get_Balance(J$85,"PTD","USD","Total","A","","001","547610","ED","AN","DL")</f>
        <v>760751</v>
      </c>
      <c r="K78" s="14">
        <f>_xll.Get_Balance(K$85,"PTD","USD","Total","A","","001","547610","ED","AN","DL")</f>
        <v>2648262</v>
      </c>
      <c r="L78" s="14">
        <f>_xll.Get_Balance(L$85,"PTD","USD","Total","A","","001","547610","ED","AN","DL")</f>
        <v>2763838</v>
      </c>
      <c r="M78" s="14">
        <f>_xll.Get_Balance(M$85,"PTD","USD","Total","A","","001","547610","ED","AN","DL")</f>
        <v>0</v>
      </c>
      <c r="N78" s="14">
        <f>_xll.Get_Balance(N$85,"PTD","USD","Total","A","","001","547610","ED","AN","DL")</f>
        <v>0</v>
      </c>
      <c r="O78" s="14">
        <f>_xll.Get_Balance(O$85,"PTD","USD","Total","A","","001","547610","ED","AN","DL")</f>
        <v>0</v>
      </c>
      <c r="P78" s="14">
        <f>_xll.Get_Balance(P$85,"PTD","USD","Total","A","","001","547610","ED","AN","DL")</f>
        <v>0</v>
      </c>
      <c r="Q78" s="147"/>
      <c r="R78" s="148">
        <f t="shared" si="22"/>
        <v>20447340</v>
      </c>
    </row>
    <row r="79" spans="1:18">
      <c r="A79" s="69">
        <f>A78+1</f>
        <v>37</v>
      </c>
      <c r="B79" s="3" t="s">
        <v>58</v>
      </c>
      <c r="C79" s="3"/>
      <c r="D79" s="125">
        <f t="shared" si="21"/>
        <v>20357943</v>
      </c>
      <c r="E79" s="14">
        <f>_xll.Get_Balance(E$85,"PTD","USD","Total","A","","001","547312","ED","AN","DL")</f>
        <v>2820838</v>
      </c>
      <c r="F79" s="14">
        <f>_xll.Get_Balance(F$85,"PTD","USD","Total","A","","001","547312","ED","AN","DL")</f>
        <v>5983438</v>
      </c>
      <c r="G79" s="14">
        <f>_xll.Get_Balance(G$85,"PTD","USD","Total","A","","001","547312","ED","AN","DL")</f>
        <v>3298237</v>
      </c>
      <c r="H79" s="14">
        <f>_xll.Get_Balance(H$85,"PTD","USD","Total","A","","001","547312","ED","AN","DL")</f>
        <v>1471291</v>
      </c>
      <c r="I79" s="14">
        <f>_xll.Get_Balance(I$85,"PTD","USD","Total","A","","001","547312","ED","AN","DL")</f>
        <v>1149758</v>
      </c>
      <c r="J79" s="14">
        <f>_xll.Get_Balance(J$85,"PTD","USD","Total","A","","001","547312","ED","AN","DL")</f>
        <v>831582</v>
      </c>
      <c r="K79" s="14">
        <f>_xll.Get_Balance(K$85,"PTD","USD","Total","A","","001","547312","ED","AN","DL")</f>
        <v>2346743</v>
      </c>
      <c r="L79" s="14">
        <f>_xll.Get_Balance(L$85,"PTD","USD","Total","A","","001","547312","ED","AN","DL")</f>
        <v>2456056</v>
      </c>
      <c r="M79" s="14">
        <f>_xll.Get_Balance(M$85,"PTD","USD","Total","A","","001","547312","ED","AN","DL")</f>
        <v>0</v>
      </c>
      <c r="N79" s="14">
        <f>_xll.Get_Balance(N$85,"PTD","USD","Total","A","","001","547312","ED","AN","DL")</f>
        <v>0</v>
      </c>
      <c r="O79" s="14">
        <f>_xll.Get_Balance(O$85,"PTD","USD","Total","A","","001","547312","ED","AN","DL")</f>
        <v>0</v>
      </c>
      <c r="P79" s="14">
        <f>_xll.Get_Balance(P$85,"PTD","USD","Total","A","","001","547312","ED","AN","DL")</f>
        <v>0</v>
      </c>
      <c r="Q79" s="147"/>
      <c r="R79" s="148">
        <f>SUM(E79:P79)</f>
        <v>20357943</v>
      </c>
    </row>
    <row r="80" spans="1:18">
      <c r="A80" s="69">
        <f>A79+1</f>
        <v>38</v>
      </c>
      <c r="B80" s="56" t="s">
        <v>52</v>
      </c>
      <c r="C80" s="56"/>
      <c r="D80" s="125">
        <f t="shared" si="21"/>
        <v>2622197</v>
      </c>
      <c r="E80" s="24">
        <f>_xll.Get_Balance(E$85,"PTD","USD","Total","A","","001","547310","ED","AN","DL")</f>
        <v>50766</v>
      </c>
      <c r="F80" s="24">
        <f>_xll.Get_Balance(F$85,"PTD","USD","Total","A","","001","547310","ED","AN","DL")</f>
        <v>534706</v>
      </c>
      <c r="G80" s="24">
        <f>_xll.Get_Balance(G$85,"PTD","USD","Total","A","","001","547310","ED","AN","DL")</f>
        <v>570531</v>
      </c>
      <c r="H80" s="24">
        <f>_xll.Get_Balance(H$85,"PTD","USD","Total","A","","001","547310","ED","AN","DL")</f>
        <v>45297</v>
      </c>
      <c r="I80" s="24">
        <f>_xll.Get_Balance(I$85,"PTD","USD","Total","A","","001","547310","ED","AN","DL")</f>
        <v>42573</v>
      </c>
      <c r="J80" s="24">
        <f>_xll.Get_Balance(J$85,"PTD","USD","Total","A","","001","547310","ED","AN","DL")</f>
        <v>152865</v>
      </c>
      <c r="K80" s="24">
        <f>_xll.Get_Balance(K$85,"PTD","USD","Total","A","","001","547310","ED","AN","DL")</f>
        <v>348664</v>
      </c>
      <c r="L80" s="24">
        <f>_xll.Get_Balance(L$85,"PTD","USD","Total","A","","001","547310","ED","AN","DL")</f>
        <v>876795</v>
      </c>
      <c r="M80" s="24">
        <f>_xll.Get_Balance(M$85,"PTD","USD","Total","A","","001","547310","ED","AN","DL")</f>
        <v>0</v>
      </c>
      <c r="N80" s="24">
        <f>_xll.Get_Balance(N$85,"PTD","USD","Total","A","","001","547310","ED","AN","DL")</f>
        <v>0</v>
      </c>
      <c r="O80" s="24">
        <f>_xll.Get_Balance(O$85,"PTD","USD","Total","A","","001","547310","ED","AN","DL")</f>
        <v>0</v>
      </c>
      <c r="P80" s="24">
        <f>_xll.Get_Balance(P$85,"PTD","USD","Total","A","","001","547310","ED","AN","DL")</f>
        <v>0</v>
      </c>
      <c r="Q80" s="147"/>
      <c r="R80" s="149">
        <f t="shared" si="22"/>
        <v>2622197</v>
      </c>
    </row>
    <row r="81" spans="1:18" s="26" customFormat="1" ht="21.75" customHeight="1">
      <c r="A81" s="122">
        <f t="shared" si="23"/>
        <v>39</v>
      </c>
      <c r="B81" s="54" t="s">
        <v>77</v>
      </c>
      <c r="C81" s="54"/>
      <c r="D81" s="34">
        <f t="shared" si="21"/>
        <v>44454743</v>
      </c>
      <c r="E81" s="16">
        <f t="shared" ref="E81:P81" si="24">SUM(E75:E80)</f>
        <v>5520134</v>
      </c>
      <c r="F81" s="16">
        <f t="shared" si="24"/>
        <v>12385807</v>
      </c>
      <c r="G81" s="16">
        <f t="shared" si="24"/>
        <v>7672060</v>
      </c>
      <c r="H81" s="16">
        <f t="shared" si="24"/>
        <v>3367643</v>
      </c>
      <c r="I81" s="16">
        <f t="shared" si="24"/>
        <v>1862247</v>
      </c>
      <c r="J81" s="16">
        <f t="shared" si="24"/>
        <v>1822536</v>
      </c>
      <c r="K81" s="16">
        <f t="shared" si="24"/>
        <v>5470663</v>
      </c>
      <c r="L81" s="16">
        <f t="shared" si="24"/>
        <v>6353653</v>
      </c>
      <c r="M81" s="16">
        <f t="shared" si="24"/>
        <v>0</v>
      </c>
      <c r="N81" s="16">
        <f t="shared" si="24"/>
        <v>0</v>
      </c>
      <c r="O81" s="16">
        <f t="shared" si="24"/>
        <v>0</v>
      </c>
      <c r="P81" s="16">
        <f t="shared" si="24"/>
        <v>0</v>
      </c>
      <c r="Q81" s="150"/>
      <c r="R81" s="151">
        <f>SUM(R75:R80)</f>
        <v>44454743</v>
      </c>
    </row>
    <row r="82" spans="1:18" ht="15.75" customHeight="1">
      <c r="A82" s="69"/>
      <c r="E82" s="19"/>
      <c r="F82" s="19"/>
      <c r="G82" s="19"/>
      <c r="H82" s="19"/>
      <c r="I82" s="19"/>
      <c r="J82" s="19"/>
      <c r="K82" s="19"/>
      <c r="L82" s="19"/>
      <c r="M82" s="19"/>
      <c r="N82" s="19"/>
      <c r="O82" s="19"/>
      <c r="P82" s="19"/>
      <c r="Q82" s="147"/>
      <c r="R82" s="152"/>
    </row>
    <row r="83" spans="1:18" ht="21" customHeight="1">
      <c r="A83" s="122">
        <f>A81+1</f>
        <v>40</v>
      </c>
      <c r="B83" s="57" t="s">
        <v>32</v>
      </c>
      <c r="C83" s="57"/>
      <c r="D83" s="153">
        <f>SUM(E83:P83)</f>
        <v>100349691</v>
      </c>
      <c r="E83" s="16">
        <f t="shared" ref="E83:P83" si="25">E23+E46+E64+E81</f>
        <v>14719055</v>
      </c>
      <c r="F83" s="16">
        <f t="shared" si="25"/>
        <v>22646575</v>
      </c>
      <c r="G83" s="16">
        <f t="shared" si="25"/>
        <v>17583693</v>
      </c>
      <c r="H83" s="16">
        <f t="shared" si="25"/>
        <v>5242443</v>
      </c>
      <c r="I83" s="16">
        <f t="shared" si="25"/>
        <v>3198135</v>
      </c>
      <c r="J83" s="16">
        <f t="shared" si="25"/>
        <v>6841360</v>
      </c>
      <c r="K83" s="16">
        <f t="shared" si="25"/>
        <v>11097863</v>
      </c>
      <c r="L83" s="16">
        <f t="shared" si="25"/>
        <v>19020567</v>
      </c>
      <c r="M83" s="16">
        <f t="shared" si="25"/>
        <v>0</v>
      </c>
      <c r="N83" s="16">
        <f t="shared" si="25"/>
        <v>0</v>
      </c>
      <c r="O83" s="16">
        <f t="shared" si="25"/>
        <v>0</v>
      </c>
      <c r="P83" s="16">
        <f t="shared" si="25"/>
        <v>0</v>
      </c>
      <c r="Q83" s="154"/>
      <c r="R83" s="155">
        <f>R23-R46+R64+R81</f>
        <v>218514634</v>
      </c>
    </row>
    <row r="84" spans="1:18" ht="12" customHeight="1">
      <c r="E84" s="21"/>
      <c r="F84" s="21"/>
      <c r="G84" s="21"/>
      <c r="H84" s="21"/>
      <c r="I84" s="21"/>
      <c r="J84" s="21"/>
      <c r="K84" s="21"/>
      <c r="L84" s="21"/>
      <c r="M84" s="21"/>
      <c r="N84" s="21"/>
      <c r="O84" s="21"/>
      <c r="P84" s="21"/>
      <c r="Q84" s="133"/>
    </row>
    <row r="85" spans="1:18" outlineLevel="1">
      <c r="B85" s="58" t="s">
        <v>24</v>
      </c>
      <c r="C85" s="58"/>
      <c r="E85" s="156">
        <v>201901</v>
      </c>
      <c r="F85" s="156">
        <v>201902</v>
      </c>
      <c r="G85" s="156">
        <v>201903</v>
      </c>
      <c r="H85" s="156">
        <v>201904</v>
      </c>
      <c r="I85" s="156">
        <v>201905</v>
      </c>
      <c r="J85" s="156">
        <v>201906</v>
      </c>
      <c r="K85" s="156">
        <v>201907</v>
      </c>
      <c r="L85" s="156">
        <v>201908</v>
      </c>
      <c r="M85" s="156">
        <v>201909</v>
      </c>
      <c r="N85" s="156">
        <v>201910</v>
      </c>
      <c r="O85" s="156">
        <v>201911</v>
      </c>
      <c r="P85" s="156">
        <v>201912</v>
      </c>
      <c r="Q85" s="133"/>
    </row>
    <row r="86" spans="1:18">
      <c r="B86" s="59" t="s">
        <v>84</v>
      </c>
      <c r="C86" s="59"/>
      <c r="D86" s="157"/>
      <c r="E86" s="130"/>
      <c r="F86" s="21"/>
      <c r="G86" s="158"/>
      <c r="H86" s="158"/>
      <c r="I86" s="158"/>
      <c r="J86" s="158"/>
      <c r="K86" s="158"/>
      <c r="L86" s="158"/>
      <c r="M86" s="158"/>
      <c r="N86" s="158"/>
      <c r="O86" s="158"/>
      <c r="P86" s="158"/>
      <c r="Q86" s="133"/>
    </row>
    <row r="87" spans="1:18">
      <c r="A87" s="69">
        <f>A83+1</f>
        <v>41</v>
      </c>
      <c r="B87" s="58" t="s">
        <v>43</v>
      </c>
      <c r="C87" s="58"/>
      <c r="D87" s="45">
        <f t="shared" ref="D87:D95" si="26">SUM(E87:P87)</f>
        <v>-8686468</v>
      </c>
      <c r="E87" s="14">
        <f>_xll.Get_Balance(E$85,"PTD","USD","Total","A","","001","456100","ED","AN","DL")</f>
        <v>-940975</v>
      </c>
      <c r="F87" s="14">
        <f>_xll.Get_Balance(F$85,"PTD","USD","Total","A","","001","456100","ED","AN","DL")</f>
        <v>-1206925</v>
      </c>
      <c r="G87" s="14">
        <f>_xll.Get_Balance(G$85,"PTD","USD","Total","A","","001","456100","ED","AN","DL")</f>
        <v>-1588507</v>
      </c>
      <c r="H87" s="14">
        <f>_xll.Get_Balance(H$85,"PTD","USD","Total","A","","001","456100","ED","AN","DL")</f>
        <v>-992137</v>
      </c>
      <c r="I87" s="14">
        <f>_xll.Get_Balance(I$85,"PTD","USD","Total","A","","001","456100","ED","AN","DL")</f>
        <v>-801805</v>
      </c>
      <c r="J87" s="14">
        <f>_xll.Get_Balance(J$85,"PTD","USD","Total","A","","001","456100","ED","AN","DL")</f>
        <v>-1217742</v>
      </c>
      <c r="K87" s="14">
        <f>_xll.Get_Balance(K$85,"PTD","USD","Total","A","","001","456100","ED","AN","DL")</f>
        <v>-991350</v>
      </c>
      <c r="L87" s="14">
        <f>_xll.Get_Balance(L$85,"PTD","USD","Total","A","","001","456100","ED","AN","DL")</f>
        <v>-947027</v>
      </c>
      <c r="M87" s="14">
        <f>_xll.Get_Balance(M$85,"PTD","USD","Total","A","","001","456100","ED","AN","DL")</f>
        <v>0</v>
      </c>
      <c r="N87" s="14">
        <f>_xll.Get_Balance(N$85,"PTD","USD","Total","A","","001","456100","ED","AN","DL")</f>
        <v>0</v>
      </c>
      <c r="O87" s="14">
        <f>_xll.Get_Balance(O$85,"PTD","USD","Total","A","","001","456100","ED","AN","DL")</f>
        <v>0</v>
      </c>
      <c r="P87" s="14">
        <f>_xll.Get_Balance(P$85,"PTD","USD","Total","A","","001","456100","ED","AN","DL")</f>
        <v>0</v>
      </c>
      <c r="Q87" s="147"/>
      <c r="R87" s="148">
        <f t="shared" ref="R87:R95" si="27">SUM(E87:P87)</f>
        <v>-8686468</v>
      </c>
    </row>
    <row r="88" spans="1:18">
      <c r="A88" s="69">
        <v>45</v>
      </c>
      <c r="B88" s="58" t="s">
        <v>118</v>
      </c>
      <c r="C88" s="58"/>
      <c r="D88" s="45">
        <f t="shared" si="26"/>
        <v>-616000</v>
      </c>
      <c r="E88" s="48">
        <f>_xll.Get_Balance(E$85,"PTD","USD","Total","A","","001","456120","ED","AN","DL")</f>
        <v>-77000</v>
      </c>
      <c r="F88" s="48">
        <f>_xll.Get_Balance(F$85,"PTD","USD","Total","A","","001","456120","ED","AN","DL")</f>
        <v>-77000</v>
      </c>
      <c r="G88" s="48">
        <f>_xll.Get_Balance(G$85,"PTD","USD","Total","A","","001","456120","ED","AN","DL")</f>
        <v>-77000</v>
      </c>
      <c r="H88" s="48">
        <f>_xll.Get_Balance(H$85,"PTD","USD","Total","A","","001","456120","ED","AN","DL")</f>
        <v>-77000</v>
      </c>
      <c r="I88" s="48">
        <f>_xll.Get_Balance(I$85,"PTD","USD","Total","A","","001","456120","ED","AN","DL")</f>
        <v>-77000</v>
      </c>
      <c r="J88" s="48">
        <f>_xll.Get_Balance(J$85,"PTD","USD","Total","A","","001","456120","ED","AN","DL")</f>
        <v>-77000</v>
      </c>
      <c r="K88" s="48">
        <f>_xll.Get_Balance(K$85,"PTD","USD","Total","A","","001","456120","ED","AN","DL")</f>
        <v>-77000</v>
      </c>
      <c r="L88" s="48">
        <f>_xll.Get_Balance(L$85,"PTD","USD","Total","A","","001","456120","ED","AN","DL")</f>
        <v>-77000</v>
      </c>
      <c r="M88" s="48">
        <f>_xll.Get_Balance(M$85,"PTD","USD","Total","A","","001","456120","ED","AN","DL")</f>
        <v>0</v>
      </c>
      <c r="N88" s="48">
        <f>_xll.Get_Balance(N$85,"PTD","USD","Total","A","","001","456120","ED","AN","DL")</f>
        <v>0</v>
      </c>
      <c r="O88" s="48">
        <f>_xll.Get_Balance(O$85,"PTD","USD","Total","A","","001","456120","ED","AN","DL")</f>
        <v>0</v>
      </c>
      <c r="P88" s="48">
        <f>_xll.Get_Balance(P$85,"PTD","USD","Total","A","","001","456120","ED","AN","DL")</f>
        <v>0</v>
      </c>
      <c r="Q88" s="147"/>
      <c r="R88" s="148">
        <f t="shared" si="27"/>
        <v>-616000</v>
      </c>
    </row>
    <row r="89" spans="1:18">
      <c r="A89" s="69">
        <f>A88+1</f>
        <v>46</v>
      </c>
      <c r="B89" s="58" t="s">
        <v>153</v>
      </c>
      <c r="C89" s="58"/>
      <c r="D89" s="45">
        <f t="shared" si="26"/>
        <v>-28341</v>
      </c>
      <c r="E89" s="14">
        <f>_xll.Get_Balance(E$85,"PTD","USD","Total","A","","001","456020","ED","AN","DL")</f>
        <v>-63</v>
      </c>
      <c r="F89" s="14">
        <f>_xll.Get_Balance(F$85,"PTD","USD","Total","A","","001","456020","ED","AN","DL")</f>
        <v>0</v>
      </c>
      <c r="G89" s="14">
        <f>_xll.Get_Balance(G$85,"PTD","USD","Total","A","","001","456020","ED","AN","DL")</f>
        <v>-113</v>
      </c>
      <c r="H89" s="14">
        <f>_xll.Get_Balance(H$85,"PTD","USD","Total","A","","001","456020","ED","AN","DL")</f>
        <v>-400</v>
      </c>
      <c r="I89" s="14">
        <f>_xll.Get_Balance(I$85,"PTD","USD","Total","A","","001","456020","ED","AN","DL")</f>
        <v>-21159</v>
      </c>
      <c r="J89" s="14">
        <f>_xll.Get_Balance(J$85,"PTD","USD","Total","A","","001","456020","ED","AN","DL")</f>
        <v>-5938</v>
      </c>
      <c r="K89" s="14">
        <f>_xll.Get_Balance(K$85,"PTD","USD","Total","A","","001","456020","ED","AN","DL")</f>
        <v>-668</v>
      </c>
      <c r="L89" s="14">
        <f>_xll.Get_Balance(L$85,"PTD","USD","Total","A","","001","456020","ED","AN","DL")</f>
        <v>0</v>
      </c>
      <c r="M89" s="14">
        <f>_xll.Get_Balance(M$85,"PTD","USD","Total","A","","001","456020","ED","AN","DL")</f>
        <v>0</v>
      </c>
      <c r="N89" s="14">
        <f>_xll.Get_Balance(N$85,"PTD","USD","Total","A","","001","456020","ED","AN","DL")</f>
        <v>0</v>
      </c>
      <c r="O89" s="14">
        <f>_xll.Get_Balance(O$85,"PTD","USD","Total","A","","001","456020","ED","AN","DL")</f>
        <v>0</v>
      </c>
      <c r="P89" s="14">
        <f>_xll.Get_Balance(P$85,"PTD","USD","Total","A","","001","456020","ED","AN","DL")</f>
        <v>0</v>
      </c>
      <c r="Q89" s="14"/>
      <c r="R89" s="148">
        <f t="shared" si="27"/>
        <v>-28341</v>
      </c>
    </row>
    <row r="90" spans="1:18">
      <c r="A90" s="69">
        <f>A89+1</f>
        <v>47</v>
      </c>
      <c r="B90" s="58" t="s">
        <v>188</v>
      </c>
      <c r="C90" s="58"/>
      <c r="D90" s="45">
        <f t="shared" si="26"/>
        <v>-711835</v>
      </c>
      <c r="E90" s="14">
        <f>_xll.Get_Balance(E$85,"PTD","USD","Total","A","","001","456030","ED","AN","DL")</f>
        <v>0</v>
      </c>
      <c r="F90" s="14">
        <f>_xll.Get_Balance(F$85,"PTD","USD","Total","A","","001","456030","ED","AN","DL")</f>
        <v>0</v>
      </c>
      <c r="G90" s="14">
        <f>_xll.Get_Balance(G$85,"PTD","USD","Total","A","","001","456030","ED","AN","DL")</f>
        <v>-134197</v>
      </c>
      <c r="H90" s="14">
        <f>_xll.Get_Balance(H$85,"PTD","USD","Total","A","","001","456030","ED","AN","DL")</f>
        <v>-131435</v>
      </c>
      <c r="I90" s="14">
        <f>_xll.Get_Balance(I$85,"PTD","USD","Total","A","","001","456030","ED","AN","DL")</f>
        <v>-144449</v>
      </c>
      <c r="J90" s="14">
        <f>_xll.Get_Balance(J$85,"PTD","USD","Total","A","","001","456030","ED","AN","DL")</f>
        <v>-101292</v>
      </c>
      <c r="K90" s="14">
        <f>_xll.Get_Balance(K$85,"PTD","USD","Total","A","","001","456030","ED","AN","DL")</f>
        <v>-100462</v>
      </c>
      <c r="L90" s="14">
        <f>_xll.Get_Balance(L$85,"PTD","USD","Total","A","","001","456030","ED","AN","DL")</f>
        <v>-100000</v>
      </c>
      <c r="M90" s="14">
        <f>_xll.Get_Balance(M$85,"PTD","USD","Total","A","","001","456030","ED","AN","DL")</f>
        <v>0</v>
      </c>
      <c r="N90" s="14">
        <f>_xll.Get_Balance(N$85,"PTD","USD","Total","A","","001","456030","ED","AN","DL")</f>
        <v>0</v>
      </c>
      <c r="O90" s="14">
        <f>_xll.Get_Balance(O$85,"PTD","USD","Total","A","","001","456030","ED","AN","DL")</f>
        <v>0</v>
      </c>
      <c r="P90" s="14">
        <f>_xll.Get_Balance(P$85,"PTD","USD","Total","A","","001","456030","ED","AN","DL")</f>
        <v>0</v>
      </c>
      <c r="Q90" s="14"/>
      <c r="R90" s="148"/>
    </row>
    <row r="91" spans="1:18">
      <c r="A91" s="69">
        <f>A90+1</f>
        <v>48</v>
      </c>
      <c r="B91" s="58" t="s">
        <v>152</v>
      </c>
      <c r="C91" s="58"/>
      <c r="D91" s="45">
        <f t="shared" si="26"/>
        <v>-1686377</v>
      </c>
      <c r="E91" s="14">
        <f>_xll.Get_Balance(E$85,"PTD","USD","Total","A","","001","456130","ED","AN","DL")</f>
        <v>-214294</v>
      </c>
      <c r="F91" s="14">
        <f>_xll.Get_Balance(F$85,"PTD","USD","Total","A","","001","456130","ED","AN","DL")</f>
        <v>-255268</v>
      </c>
      <c r="G91" s="14">
        <f>_xll.Get_Balance(G$85,"PTD","USD","Total","A","","001","456130","ED","AN","DL")</f>
        <v>-255076</v>
      </c>
      <c r="H91" s="14">
        <f>_xll.Get_Balance(H$85,"PTD","USD","Total","A","","001","456130","ED","AN","DL")</f>
        <v>-175722</v>
      </c>
      <c r="I91" s="14">
        <f>_xll.Get_Balance(I$85,"PTD","USD","Total","A","","001","456130","ED","AN","DL")</f>
        <v>-184130</v>
      </c>
      <c r="J91" s="14">
        <f>_xll.Get_Balance(J$85,"PTD","USD","Total","A","","001","456130","ED","AN","DL")</f>
        <v>-188967</v>
      </c>
      <c r="K91" s="14">
        <f>_xll.Get_Balance(K$85,"PTD","USD","Total","A","","001","456130","ED","AN","DL")</f>
        <v>-204764</v>
      </c>
      <c r="L91" s="14">
        <f>_xll.Get_Balance(L$85,"PTD","USD","Total","A","","001","456130","ED","AN","DL")</f>
        <v>-208156</v>
      </c>
      <c r="M91" s="14">
        <f>_xll.Get_Balance(M$85,"PTD","USD","Total","A","","001","456130","ED","AN","DL")</f>
        <v>0</v>
      </c>
      <c r="N91" s="14">
        <f>_xll.Get_Balance(N$85,"PTD","USD","Total","A","","001","456130","ED","AN","DL")</f>
        <v>0</v>
      </c>
      <c r="O91" s="14">
        <f>_xll.Get_Balance(O$85,"PTD","USD","Total","A","","001","456130","ED","AN","DL")</f>
        <v>0</v>
      </c>
      <c r="P91" s="14">
        <f>_xll.Get_Balance(P$85,"PTD","USD","Total","A","","001","456130","ED","AN","DL")</f>
        <v>0</v>
      </c>
      <c r="Q91" s="147"/>
      <c r="R91" s="148">
        <f t="shared" si="27"/>
        <v>-1686377</v>
      </c>
    </row>
    <row r="92" spans="1:18">
      <c r="A92" s="69">
        <f>+A91+1</f>
        <v>49</v>
      </c>
      <c r="B92" s="3" t="s">
        <v>120</v>
      </c>
      <c r="C92" s="3"/>
      <c r="D92" s="36">
        <f>SUM(E92:P92)</f>
        <v>-46884</v>
      </c>
      <c r="E92" s="37">
        <f>_xll.Get_Balance(E$85,"PTD","USD","Total","A","","001","456017","ED","AN","DL")</f>
        <v>-6438</v>
      </c>
      <c r="F92" s="37">
        <f>_xll.Get_Balance(F$85,"PTD","USD","Total","A","","001","456017","ED","AN","DL")</f>
        <v>-5778</v>
      </c>
      <c r="G92" s="37">
        <f>_xll.Get_Balance(G$85,"PTD","USD","Total","A","","001","456017","ED","AN","DL")</f>
        <v>-5778</v>
      </c>
      <c r="H92" s="37">
        <f>_xll.Get_Balance(H$85,"PTD","USD","Total","A","","001","456017","ED","AN","DL")</f>
        <v>-5778</v>
      </c>
      <c r="I92" s="37">
        <f>_xll.Get_Balance(I$85,"PTD","USD","Total","A","","001","456017","ED","AN","DL")</f>
        <v>-5778</v>
      </c>
      <c r="J92" s="37">
        <f>_xll.Get_Balance(J$85,"PTD","USD","Total","A","","001","456017","ED","AN","DL")</f>
        <v>-5778</v>
      </c>
      <c r="K92" s="37">
        <f>_xll.Get_Balance(K$85,"PTD","USD","Total","A","","001","456017","ED","AN","DL")</f>
        <v>-5778</v>
      </c>
      <c r="L92" s="37">
        <f>_xll.Get_Balance(L$85,"PTD","USD","Total","A","","001","456017","ED","AN","DL")</f>
        <v>-5778</v>
      </c>
      <c r="M92" s="37">
        <f>_xll.Get_Balance(M$85,"PTD","USD","Total","A","","001","456017","ED","AN","DL")</f>
        <v>0</v>
      </c>
      <c r="N92" s="37">
        <f>_xll.Get_Balance(N$85,"PTD","USD","Total","A","","001","456017","ED","AN","DL")</f>
        <v>0</v>
      </c>
      <c r="O92" s="37">
        <f>_xll.Get_Balance(O$85,"PTD","USD","Total","A","","001","456017","ED","AN","DL")</f>
        <v>0</v>
      </c>
      <c r="P92" s="37">
        <f>_xll.Get_Balance(P$85,"PTD","USD","Total","A","","001","456017","ED","AN","DL")</f>
        <v>0</v>
      </c>
      <c r="Q92" s="147"/>
      <c r="R92" s="148">
        <f t="shared" si="27"/>
        <v>-46884</v>
      </c>
    </row>
    <row r="93" spans="1:18">
      <c r="A93" s="69">
        <f>+A92+1</f>
        <v>50</v>
      </c>
      <c r="B93" s="78" t="s">
        <v>166</v>
      </c>
      <c r="C93" s="58"/>
      <c r="D93" s="45">
        <f t="shared" si="26"/>
        <v>-71664</v>
      </c>
      <c r="E93" s="14">
        <f>_xll.Get_Balance(E$85,"PTD","USD","Total","A","","001","456700","ED","WA","DL")</f>
        <v>-8958</v>
      </c>
      <c r="F93" s="14">
        <f>_xll.Get_Balance(F$85,"PTD","USD","Total","A","","001","456700","ED","WA","DL")</f>
        <v>-8958</v>
      </c>
      <c r="G93" s="14">
        <f>_xll.Get_Balance(G$85,"PTD","USD","Total","A","","001","456700","ED","WA","DL")</f>
        <v>-8958</v>
      </c>
      <c r="H93" s="14">
        <f>_xll.Get_Balance(H$85,"PTD","USD","Total","A","","001","456700","ED","WA","DL")</f>
        <v>-8958</v>
      </c>
      <c r="I93" s="14">
        <f>_xll.Get_Balance(I$85,"PTD","USD","Total","A","","001","456700","ED","WA","DL")</f>
        <v>-8958</v>
      </c>
      <c r="J93" s="14">
        <f>_xll.Get_Balance(J$85,"PTD","USD","Total","A","","001","456700","ED","WA","DL")</f>
        <v>-8958</v>
      </c>
      <c r="K93" s="14">
        <f>_xll.Get_Balance(K$85,"PTD","USD","Total","A","","001","456700","ED","WA","DL")</f>
        <v>-8958</v>
      </c>
      <c r="L93" s="14">
        <f>_xll.Get_Balance(L$85,"PTD","USD","Total","A","","001","456700","ED","WA","DL")</f>
        <v>-8958</v>
      </c>
      <c r="M93" s="14">
        <f>_xll.Get_Balance(M$85,"PTD","USD","Total","A","","001","456700","ED","WA","DL")</f>
        <v>0</v>
      </c>
      <c r="N93" s="14">
        <f>_xll.Get_Balance(N$85,"PTD","USD","Total","A","","001","456700","ED","WA","DL")</f>
        <v>0</v>
      </c>
      <c r="O93" s="14">
        <f>_xll.Get_Balance(O$85,"PTD","USD","Total","A","","001","456700","ED","WA","DL")</f>
        <v>0</v>
      </c>
      <c r="P93" s="14">
        <f>_xll.Get_Balance(P$85,"PTD","USD","Total","A","","001","456700","ED","WA","DL")</f>
        <v>0</v>
      </c>
      <c r="Q93" s="159"/>
      <c r="R93" s="148">
        <f t="shared" si="27"/>
        <v>-71664</v>
      </c>
    </row>
    <row r="94" spans="1:18">
      <c r="A94" s="69">
        <f>+A93+1</f>
        <v>51</v>
      </c>
      <c r="B94" s="60" t="s">
        <v>121</v>
      </c>
      <c r="C94" s="60" t="s">
        <v>98</v>
      </c>
      <c r="D94" s="45">
        <f t="shared" si="26"/>
        <v>-1119784</v>
      </c>
      <c r="E94" s="24">
        <f>_xll.Get_Balance(E$85,"PTD","USD","Total","A","","001","456705","ED","AN","DL")</f>
        <v>-139973</v>
      </c>
      <c r="F94" s="24">
        <f>_xll.Get_Balance(F$85,"PTD","USD","Total","A","","001","456705","ED","AN","DL")</f>
        <v>-139973</v>
      </c>
      <c r="G94" s="24">
        <f>_xll.Get_Balance(G$85,"PTD","USD","Total","A","","001","456705","ED","AN","DL")</f>
        <v>-139973</v>
      </c>
      <c r="H94" s="24">
        <f>_xll.Get_Balance(H$85,"PTD","USD","Total","A","","001","456705","ED","AN","DL")</f>
        <v>-139973</v>
      </c>
      <c r="I94" s="24">
        <f>_xll.Get_Balance(I$85,"PTD","USD","Total","A","","001","456705","ED","AN","DL")</f>
        <v>-139973</v>
      </c>
      <c r="J94" s="24">
        <f>_xll.Get_Balance(J$85,"PTD","USD","Total","A","","001","456705","ED","AN","DL")</f>
        <v>-139973</v>
      </c>
      <c r="K94" s="24">
        <f>_xll.Get_Balance(K$85,"PTD","USD","Total","A","","001","456705","ED","AN","DL")</f>
        <v>-139973</v>
      </c>
      <c r="L94" s="24">
        <f>_xll.Get_Balance(L$85,"PTD","USD","Total","A","","001","456705","ED","AN","DL")</f>
        <v>-139973</v>
      </c>
      <c r="M94" s="24">
        <f>_xll.Get_Balance(M$85,"PTD","USD","Total","A","","001","456705","ED","AN","DL")</f>
        <v>0</v>
      </c>
      <c r="N94" s="24">
        <f>_xll.Get_Balance(N$85,"PTD","USD","Total","A","","001","456705","ED","AN","DL")</f>
        <v>0</v>
      </c>
      <c r="O94" s="24">
        <f>_xll.Get_Balance(O$85,"PTD","USD","Total","A","","001","456705","ED","AN","DL")</f>
        <v>0</v>
      </c>
      <c r="P94" s="24">
        <f>_xll.Get_Balance(P$85,"PTD","USD","Total","A","","001","456705","ED","AN","DL")</f>
        <v>0</v>
      </c>
      <c r="Q94" s="147"/>
      <c r="R94" s="149">
        <f t="shared" si="27"/>
        <v>-1119784</v>
      </c>
    </row>
    <row r="95" spans="1:18" s="26" customFormat="1" ht="20.25" customHeight="1">
      <c r="A95" s="122">
        <f>A94+1</f>
        <v>52</v>
      </c>
      <c r="B95" s="61" t="s">
        <v>83</v>
      </c>
      <c r="C95" s="61"/>
      <c r="D95" s="34">
        <f t="shared" si="26"/>
        <v>-12967353</v>
      </c>
      <c r="E95" s="34">
        <f>SUM(E87:E94)</f>
        <v>-1387701</v>
      </c>
      <c r="F95" s="34">
        <f t="shared" ref="F95:P95" si="28">SUM(F87:F94)</f>
        <v>-1693902</v>
      </c>
      <c r="G95" s="34">
        <f t="shared" si="28"/>
        <v>-2209602</v>
      </c>
      <c r="H95" s="34">
        <f t="shared" si="28"/>
        <v>-1531403</v>
      </c>
      <c r="I95" s="34">
        <f t="shared" si="28"/>
        <v>-1383252</v>
      </c>
      <c r="J95" s="34">
        <f t="shared" si="28"/>
        <v>-1745648</v>
      </c>
      <c r="K95" s="34">
        <f t="shared" si="28"/>
        <v>-1528953</v>
      </c>
      <c r="L95" s="34">
        <f t="shared" si="28"/>
        <v>-1486892</v>
      </c>
      <c r="M95" s="34">
        <f t="shared" si="28"/>
        <v>0</v>
      </c>
      <c r="N95" s="34">
        <f t="shared" si="28"/>
        <v>0</v>
      </c>
      <c r="O95" s="34">
        <f t="shared" si="28"/>
        <v>0</v>
      </c>
      <c r="P95" s="34">
        <f t="shared" si="28"/>
        <v>0</v>
      </c>
      <c r="Q95" s="150"/>
      <c r="R95" s="151">
        <f t="shared" si="27"/>
        <v>-12967353</v>
      </c>
    </row>
    <row r="96" spans="1:18">
      <c r="A96" s="69"/>
      <c r="D96" s="5"/>
      <c r="E96" s="45"/>
      <c r="F96" s="125"/>
      <c r="G96" s="21"/>
      <c r="H96" s="21"/>
      <c r="I96" s="21"/>
      <c r="J96" s="21"/>
      <c r="K96" s="21"/>
      <c r="L96" s="21"/>
      <c r="M96" s="21"/>
      <c r="N96" s="21"/>
      <c r="O96" s="21"/>
      <c r="P96" s="21"/>
      <c r="Q96" s="147"/>
      <c r="R96" s="148"/>
    </row>
    <row r="97" spans="1:18">
      <c r="A97" s="69"/>
      <c r="B97" s="53" t="s">
        <v>85</v>
      </c>
      <c r="C97" s="53"/>
      <c r="D97" s="5"/>
      <c r="E97" s="45"/>
      <c r="F97" s="125"/>
      <c r="G97" s="21"/>
      <c r="H97" s="21"/>
      <c r="I97" s="21"/>
      <c r="J97" s="21"/>
      <c r="K97" s="21"/>
      <c r="L97" s="21"/>
      <c r="M97" s="21"/>
      <c r="N97" s="21"/>
      <c r="O97" s="21"/>
      <c r="P97" s="21"/>
      <c r="Q97" s="147"/>
      <c r="R97" s="148"/>
    </row>
    <row r="98" spans="1:18">
      <c r="A98" s="69">
        <f>A95+1</f>
        <v>53</v>
      </c>
      <c r="B98" s="3" t="s">
        <v>44</v>
      </c>
      <c r="C98" s="3"/>
      <c r="D98" s="45">
        <f>SUM(E98:P98)</f>
        <v>11645543</v>
      </c>
      <c r="E98" s="14">
        <f>_xll.Get_Balance(E$85,"PTD","USD","Total","A","","001","565000","ED","AN","DL")</f>
        <v>1467419</v>
      </c>
      <c r="F98" s="32">
        <f>_xll.Get_Balance(F$85,"PTD","USD","Total","A","","001","565000","ED","AN","DL")</f>
        <v>1534204</v>
      </c>
      <c r="G98" s="32">
        <f>_xll.Get_Balance(G$85,"PTD","USD","Total","A","","001","565000","ED","AN","DL")</f>
        <v>1677005</v>
      </c>
      <c r="H98" s="32">
        <f>_xll.Get_Balance(H$85,"PTD","USD","Total","A","","001","565000","ED","AN","DL")</f>
        <v>1448591</v>
      </c>
      <c r="I98" s="32">
        <f>_xll.Get_Balance(I$85,"PTD","USD","Total","A","","001","565000","ED","AN","DL")</f>
        <v>1439342</v>
      </c>
      <c r="J98" s="32">
        <f>_xll.Get_Balance(J$85,"PTD","USD","Total","A","","001","565000","ED","AN","DL")</f>
        <v>1400948</v>
      </c>
      <c r="K98" s="32">
        <f>_xll.Get_Balance(K$85,"PTD","USD","Total","A","","001","565000","ED","AN","DL")</f>
        <v>1331513</v>
      </c>
      <c r="L98" s="32">
        <f>_xll.Get_Balance(L$85,"PTD","USD","Total","A","","001","565000","ED","AN","DL")</f>
        <v>1346521</v>
      </c>
      <c r="M98" s="32">
        <f>_xll.Get_Balance(M$85,"PTD","USD","Total","A","","001","565000","ED","AN","DL")</f>
        <v>0</v>
      </c>
      <c r="N98" s="32">
        <f>_xll.Get_Balance(N$85,"PTD","USD","Total","A","","001","565000","ED","AN","DL")</f>
        <v>0</v>
      </c>
      <c r="O98" s="32">
        <f>_xll.Get_Balance(O$85,"PTD","USD","Total","A","","001","565000","ED","AN","DL")</f>
        <v>0</v>
      </c>
      <c r="P98" s="32">
        <f>_xll.Get_Balance(P$85,"PTD","USD","Total","A","","001","565000","ED","AN","DL")</f>
        <v>0</v>
      </c>
      <c r="Q98" s="147"/>
      <c r="R98" s="148">
        <f>SUM(E98:P98)</f>
        <v>11645543</v>
      </c>
    </row>
    <row r="99" spans="1:18">
      <c r="A99" s="69">
        <f>A98+1</f>
        <v>54</v>
      </c>
      <c r="B99" s="3" t="s">
        <v>59</v>
      </c>
      <c r="C99" s="3" t="s">
        <v>60</v>
      </c>
      <c r="D99" s="45">
        <f>SUM(E99:P99)</f>
        <v>0</v>
      </c>
      <c r="E99" s="32">
        <f>_xll.Get_Balance(E$85,"PTD","USD","Total","A","","001","565312","ED","AN","DL")</f>
        <v>0</v>
      </c>
      <c r="F99" s="32">
        <f>_xll.Get_Balance(F$85,"PTD","USD","Total","A","","001","565312","ED","AN","DL")</f>
        <v>0</v>
      </c>
      <c r="G99" s="32">
        <f>_xll.Get_Balance(G$85,"PTD","USD","Total","A","","001","565312","ED","AN","DL")</f>
        <v>0</v>
      </c>
      <c r="H99" s="32">
        <f>_xll.Get_Balance(H$85,"PTD","USD","Total","A","","001","565312","ED","AN","DL")</f>
        <v>0</v>
      </c>
      <c r="I99" s="32">
        <f>_xll.Get_Balance(I$85,"PTD","USD","Total","A","","001","565312","ED","AN","DL")</f>
        <v>0</v>
      </c>
      <c r="J99" s="32">
        <f>_xll.Get_Balance(J$85,"PTD","USD","Total","A","","001","565312","ED","AN","DL")</f>
        <v>0</v>
      </c>
      <c r="K99" s="32">
        <f>_xll.Get_Balance(K$85,"PTD","USD","Total","A","","001","565312","ED","AN","DL")</f>
        <v>0</v>
      </c>
      <c r="L99" s="32">
        <f>_xll.Get_Balance(L$85,"PTD","USD","Total","A","","001","565312","ED","AN","DL")</f>
        <v>0</v>
      </c>
      <c r="M99" s="32">
        <f>_xll.Get_Balance(M$85,"PTD","USD","Total","A","","001","565312","ED","AN","DL")</f>
        <v>0</v>
      </c>
      <c r="N99" s="32">
        <f>_xll.Get_Balance(N$85,"PTD","USD","Total","A","","001","565312","ED","AN","DL")</f>
        <v>0</v>
      </c>
      <c r="O99" s="32">
        <f>_xll.Get_Balance(O$85,"PTD","USD","Total","A","","001","565312","ED","AN","DL")</f>
        <v>0</v>
      </c>
      <c r="P99" s="32">
        <f>_xll.Get_Balance(P$85,"PTD","USD","Total","A","","001","565312","ED","AN","DL")</f>
        <v>0</v>
      </c>
      <c r="Q99" s="147"/>
      <c r="R99" s="148">
        <f>SUM(E99:P99)</f>
        <v>0</v>
      </c>
    </row>
    <row r="100" spans="1:18">
      <c r="A100" s="70">
        <f>A99+1</f>
        <v>55</v>
      </c>
      <c r="B100" s="62" t="s">
        <v>45</v>
      </c>
      <c r="C100" s="62"/>
      <c r="D100" s="45">
        <f>SUM(E100:P100)</f>
        <v>36288</v>
      </c>
      <c r="E100" s="24">
        <f>_xll.Get_Balance(E$85,"PTD","USD","Total","A","","001","565710","ED","AN","DL")</f>
        <v>4536</v>
      </c>
      <c r="F100" s="24">
        <f>_xll.Get_Balance(F$85,"PTD","USD","Total","A","","001","565710","ED","AN","DL")</f>
        <v>4536</v>
      </c>
      <c r="G100" s="24">
        <f>_xll.Get_Balance(G$85,"PTD","USD","Total","A","","001","565710","ED","AN","DL")</f>
        <v>4536</v>
      </c>
      <c r="H100" s="24">
        <f>_xll.Get_Balance(H$85,"PTD","USD","Total","A","","001","565710","ED","AN","DL")</f>
        <v>4536</v>
      </c>
      <c r="I100" s="24">
        <f>_xll.Get_Balance(I$85,"PTD","USD","Total","A","","001","565710","ED","AN","DL")</f>
        <v>4536</v>
      </c>
      <c r="J100" s="24">
        <f>_xll.Get_Balance(J$85,"PTD","USD","Total","A","","001","565710","ED","AN","DL")</f>
        <v>4536</v>
      </c>
      <c r="K100" s="24">
        <f>_xll.Get_Balance(K$85,"PTD","USD","Total","A","","001","565710","ED","AN","DL")</f>
        <v>4536</v>
      </c>
      <c r="L100" s="24">
        <f>_xll.Get_Balance(L$85,"PTD","USD","Total","A","","001","565710","ED","AN","DL")</f>
        <v>4536</v>
      </c>
      <c r="M100" s="24">
        <f>_xll.Get_Balance(M$85,"PTD","USD","Total","A","","001","565710","ED","AN","DL")</f>
        <v>0</v>
      </c>
      <c r="N100" s="24">
        <f>_xll.Get_Balance(N$85,"PTD","USD","Total","A","","001","565710","ED","AN","DL")</f>
        <v>0</v>
      </c>
      <c r="O100" s="24">
        <f>_xll.Get_Balance(O$85,"PTD","USD","Total","A","","001","565710","ED","AN","DL")</f>
        <v>0</v>
      </c>
      <c r="P100" s="24">
        <f>_xll.Get_Balance(P$85,"PTD","USD","Total","A","","001","565710","ED","AN","DL")</f>
        <v>0</v>
      </c>
      <c r="Q100" s="147"/>
      <c r="R100" s="149">
        <f>SUM(E100:P100)</f>
        <v>36288</v>
      </c>
    </row>
    <row r="101" spans="1:18" s="26" customFormat="1" ht="20.25" customHeight="1">
      <c r="A101" s="122">
        <f>A100+1</f>
        <v>56</v>
      </c>
      <c r="B101" s="61" t="s">
        <v>82</v>
      </c>
      <c r="C101" s="61"/>
      <c r="D101" s="34">
        <f>SUM(E101:P101)</f>
        <v>11681831</v>
      </c>
      <c r="E101" s="16">
        <f t="shared" ref="E101:P101" si="29">SUM(E98:E100)</f>
        <v>1471955</v>
      </c>
      <c r="F101" s="16">
        <f t="shared" si="29"/>
        <v>1538740</v>
      </c>
      <c r="G101" s="16">
        <f t="shared" si="29"/>
        <v>1681541</v>
      </c>
      <c r="H101" s="16">
        <f t="shared" si="29"/>
        <v>1453127</v>
      </c>
      <c r="I101" s="16">
        <f t="shared" si="29"/>
        <v>1443878</v>
      </c>
      <c r="J101" s="16">
        <f t="shared" si="29"/>
        <v>1405484</v>
      </c>
      <c r="K101" s="16">
        <f t="shared" si="29"/>
        <v>1336049</v>
      </c>
      <c r="L101" s="16">
        <f t="shared" si="29"/>
        <v>1351057</v>
      </c>
      <c r="M101" s="16">
        <f t="shared" si="29"/>
        <v>0</v>
      </c>
      <c r="N101" s="16">
        <f t="shared" si="29"/>
        <v>0</v>
      </c>
      <c r="O101" s="16">
        <f t="shared" si="29"/>
        <v>0</v>
      </c>
      <c r="P101" s="16">
        <f t="shared" si="29"/>
        <v>0</v>
      </c>
      <c r="Q101" s="150"/>
      <c r="R101" s="151">
        <f>SUM(E101:P101)</f>
        <v>11681831</v>
      </c>
    </row>
    <row r="102" spans="1:18">
      <c r="A102" s="69"/>
      <c r="E102" s="21"/>
      <c r="F102" s="21"/>
      <c r="G102" s="21"/>
      <c r="H102" s="21"/>
      <c r="I102" s="21"/>
      <c r="J102" s="21"/>
      <c r="K102" s="21"/>
      <c r="L102" s="21"/>
      <c r="M102" s="21"/>
      <c r="N102" s="21"/>
      <c r="O102" s="21"/>
      <c r="P102" s="21"/>
      <c r="Q102" s="147"/>
      <c r="R102" s="148"/>
    </row>
    <row r="103" spans="1:18">
      <c r="A103" s="69"/>
      <c r="B103" s="53" t="s">
        <v>144</v>
      </c>
      <c r="E103" s="21"/>
      <c r="F103" s="21"/>
      <c r="G103" s="21"/>
      <c r="H103" s="21"/>
      <c r="I103" s="21"/>
      <c r="J103" s="21"/>
      <c r="K103" s="21"/>
      <c r="L103" s="21"/>
      <c r="M103" s="21"/>
      <c r="N103" s="21"/>
      <c r="O103" s="21"/>
      <c r="P103" s="21"/>
      <c r="Q103" s="147"/>
      <c r="R103" s="148"/>
    </row>
    <row r="104" spans="1:18">
      <c r="A104" s="69">
        <f>A101+1</f>
        <v>57</v>
      </c>
      <c r="B104" s="3" t="s">
        <v>147</v>
      </c>
      <c r="D104" s="125">
        <f>SUM(E104:P104)</f>
        <v>208493</v>
      </c>
      <c r="E104" s="21">
        <f>_xll.Get_Balance(E$85,"PTD","USD","Total","A","","001","557170","ED","AN","DL")</f>
        <v>21315</v>
      </c>
      <c r="F104" s="21">
        <f>_xll.Get_Balance(F$85,"PTD","USD","Total","A","","001","557170","ED","AN","DL")</f>
        <v>26103</v>
      </c>
      <c r="G104" s="21">
        <f>_xll.Get_Balance(G$85,"PTD","USD","Total","A","","001","557170","ED","AN","DL")</f>
        <v>34154</v>
      </c>
      <c r="H104" s="21">
        <f>_xll.Get_Balance(H$85,"PTD","USD","Total","A","","001","557170","ED","AN","DL")</f>
        <v>24693</v>
      </c>
      <c r="I104" s="21">
        <f>_xll.Get_Balance(I$85,"PTD","USD","Total","A","","001","557170","ED","AN","DL")</f>
        <v>27810</v>
      </c>
      <c r="J104" s="21">
        <f>_xll.Get_Balance(J$85,"PTD","USD","Total","A","","001","557170","ED","AN","DL")</f>
        <v>26268</v>
      </c>
      <c r="K104" s="21">
        <f>_xll.Get_Balance(K$85,"PTD","USD","Total","A","","001","557170","ED","AN","DL")</f>
        <v>20813</v>
      </c>
      <c r="L104" s="21">
        <f>_xll.Get_Balance(L$85,"PTD","USD","Total","A","","001","557170","ED","AN","DL")</f>
        <v>27337</v>
      </c>
      <c r="M104" s="21">
        <f>_xll.Get_Balance(M$85,"PTD","USD","Total","A","","001","557170","ED","AN","DL")</f>
        <v>0</v>
      </c>
      <c r="N104" s="21">
        <f>_xll.Get_Balance(N$85,"PTD","USD","Total","A","","001","557170","ED","AN","DL")</f>
        <v>0</v>
      </c>
      <c r="O104" s="21">
        <f>_xll.Get_Balance(O$85,"PTD","USD","Total","A","","001","557170","ED","AN","DL")</f>
        <v>0</v>
      </c>
      <c r="P104" s="21">
        <f>_xll.Get_Balance(P$85,"PTD","USD","Total","A","","001","557170","ED","AN","DL")</f>
        <v>0</v>
      </c>
      <c r="Q104" s="147"/>
      <c r="R104" s="148"/>
    </row>
    <row r="105" spans="1:18">
      <c r="A105" s="69">
        <f>A104+1</f>
        <v>58</v>
      </c>
      <c r="B105" s="68" t="s">
        <v>146</v>
      </c>
      <c r="D105" s="125">
        <f>SUM(E105:P105)</f>
        <v>0</v>
      </c>
      <c r="E105" s="21">
        <f>_xll.Get_Balance(E$85,"PTD","USD","Total","A","","001","557172","ED","AN","DL")</f>
        <v>0</v>
      </c>
      <c r="F105" s="21">
        <f>_xll.Get_Balance(F$85,"PTD","USD","Total","A","","001","557172","ED","AN","DL")</f>
        <v>0</v>
      </c>
      <c r="G105" s="21">
        <f>_xll.Get_Balance(G$85,"PTD","USD","Total","A","","001","557172","ED","AN","DL")</f>
        <v>0</v>
      </c>
      <c r="H105" s="21">
        <f>_xll.Get_Balance(H$85,"PTD","USD","Total","A","","001","557172","ED","AN","DL")</f>
        <v>0</v>
      </c>
      <c r="I105" s="21">
        <f>_xll.Get_Balance(I$85,"PTD","USD","Total","A","","001","557172","ED","AN","DL")</f>
        <v>0</v>
      </c>
      <c r="J105" s="21">
        <f>_xll.Get_Balance(J$85,"PTD","USD","Total","A","","001","557172","ED","AN","DL")</f>
        <v>0</v>
      </c>
      <c r="K105" s="21">
        <f>_xll.Get_Balance(K$85,"PTD","USD","Total","A","","001","557172","ED","AN","DL")</f>
        <v>0</v>
      </c>
      <c r="L105" s="21">
        <f>_xll.Get_Balance(L$85,"PTD","USD","Total","A","","001","557172","ED","AN","DL")</f>
        <v>0</v>
      </c>
      <c r="M105" s="21">
        <f>_xll.Get_Balance(M$85,"PTD","USD","Total","A","","001","557172","ED","AN","DL")</f>
        <v>0</v>
      </c>
      <c r="N105" s="21">
        <f>_xll.Get_Balance(N$85,"PTD","USD","Total","A","","001","557172","ED","AN","DL")</f>
        <v>0</v>
      </c>
      <c r="O105" s="21">
        <f>_xll.Get_Balance(O$85,"PTD","USD","Total","A","","001","557172","ED","AN","DL")</f>
        <v>0</v>
      </c>
      <c r="P105" s="21">
        <f>_xll.Get_Balance(P$85,"PTD","USD","Total","A","","001","557172","ED","AN","DL")</f>
        <v>0</v>
      </c>
      <c r="Q105" s="147"/>
      <c r="R105" s="148"/>
    </row>
    <row r="106" spans="1:18">
      <c r="A106" s="69">
        <f>A105+1</f>
        <v>59</v>
      </c>
      <c r="B106" s="68" t="s">
        <v>170</v>
      </c>
      <c r="C106" s="4" t="s">
        <v>171</v>
      </c>
      <c r="D106" s="125">
        <f>SUM(E106:P106)</f>
        <v>196952</v>
      </c>
      <c r="E106" s="21">
        <f>_xll.Get_Balance(E$85,"PTD","USD","Total","A","","001","557165","ED","AN","DL")</f>
        <v>15362</v>
      </c>
      <c r="F106" s="21">
        <f>_xll.Get_Balance(F$85,"PTD","USD","Total","A","","001","557165","ED","AN","DL")</f>
        <v>7482</v>
      </c>
      <c r="G106" s="21">
        <f>_xll.Get_Balance(G$85,"PTD","USD","Total","A","","001","557165","ED","AN","DL")</f>
        <v>53756</v>
      </c>
      <c r="H106" s="21">
        <f>_xll.Get_Balance(H$85,"PTD","USD","Total","A","","001","557165","ED","AN","DL")</f>
        <v>93339</v>
      </c>
      <c r="I106" s="21">
        <f>_xll.Get_Balance(I$85,"PTD","USD","Total","A","","001","557165","ED","AN","DL")</f>
        <v>2320</v>
      </c>
      <c r="J106" s="21">
        <f>_xll.Get_Balance(J$85,"PTD","USD","Total","A","","001","557165","ED","AN","DL")</f>
        <v>13675</v>
      </c>
      <c r="K106" s="21">
        <f>_xll.Get_Balance(K$85,"PTD","USD","Total","A","","001","557165","ED","AN","DL")</f>
        <v>27210</v>
      </c>
      <c r="L106" s="21">
        <f>_xll.Get_Balance(L$85,"PTD","USD","Total","A","","001","557165","ED","AN","DL")</f>
        <v>-16192</v>
      </c>
      <c r="M106" s="21">
        <f>_xll.Get_Balance(M$85,"PTD","USD","Total","A","","001","557165","ED","AN","DL")</f>
        <v>0</v>
      </c>
      <c r="N106" s="21">
        <f>_xll.Get_Balance(N$85,"PTD","USD","Total","A","","001","557165","ED","AN","DL")</f>
        <v>0</v>
      </c>
      <c r="O106" s="21">
        <f>_xll.Get_Balance(O$85,"PTD","USD","Total","A","","001","557165","ED","AN","DL")</f>
        <v>0</v>
      </c>
      <c r="P106" s="21">
        <f>_xll.Get_Balance(P$85,"PTD","USD","Total","A","","001","557165","ED","AN","DL")</f>
        <v>0</v>
      </c>
      <c r="Q106" s="147"/>
      <c r="R106" s="148"/>
    </row>
    <row r="107" spans="1:18">
      <c r="A107" s="69">
        <f>A106+1</f>
        <v>60</v>
      </c>
      <c r="B107" s="68" t="s">
        <v>173</v>
      </c>
      <c r="C107" s="4" t="s">
        <v>174</v>
      </c>
      <c r="D107" s="125">
        <f>SUM(E107:P107)</f>
        <v>32884</v>
      </c>
      <c r="E107" s="21">
        <f>_xll.Get_Balance(E$85,"PTD","USD","Total","A","","001","557018","ED","AN","DL")</f>
        <v>4190</v>
      </c>
      <c r="F107" s="21">
        <f>_xll.Get_Balance(F$85,"PTD","USD","Total","A","","001","557018","ED","AN","DL")</f>
        <v>4183</v>
      </c>
      <c r="G107" s="21">
        <f>_xll.Get_Balance(G$85,"PTD","USD","Total","A","","001","557018","ED","AN","DL")</f>
        <v>3696</v>
      </c>
      <c r="H107" s="21">
        <f>_xll.Get_Balance(H$85,"PTD","USD","Total","A","","001","557018","ED","AN","DL")</f>
        <v>4051</v>
      </c>
      <c r="I107" s="21">
        <f>_xll.Get_Balance(I$85,"PTD","USD","Total","A","","001","557018","ED","AN","DL")</f>
        <v>4417</v>
      </c>
      <c r="J107" s="21">
        <f>_xll.Get_Balance(J$85,"PTD","USD","Total","A","","001","557018","ED","AN","DL")</f>
        <v>4064</v>
      </c>
      <c r="K107" s="21">
        <f>_xll.Get_Balance(K$85,"PTD","USD","Total","A","","001","557018","ED","AN","DL")</f>
        <v>4503</v>
      </c>
      <c r="L107" s="21">
        <f>_xll.Get_Balance(L$85,"PTD","USD","Total","A","","001","557018","ED","AN","DL")</f>
        <v>3780</v>
      </c>
      <c r="M107" s="21">
        <f>_xll.Get_Balance(M$85,"PTD","USD","Total","A","","001","557018","ED","AN","DL")</f>
        <v>0</v>
      </c>
      <c r="N107" s="21">
        <f>_xll.Get_Balance(N$85,"PTD","USD","Total","A","","001","557018","ED","AN","DL")</f>
        <v>0</v>
      </c>
      <c r="O107" s="21">
        <f>_xll.Get_Balance(O$85,"PTD","USD","Total","A","","001","557018","ED","AN","DL")</f>
        <v>0</v>
      </c>
      <c r="P107" s="21">
        <f>_xll.Get_Balance(P$85,"PTD","USD","Total","A","","001","557018","ED","AN","DL")</f>
        <v>0</v>
      </c>
      <c r="Q107" s="147"/>
      <c r="R107" s="148"/>
    </row>
    <row r="108" spans="1:18" s="26" customFormat="1" ht="20.25" customHeight="1">
      <c r="A108" s="69">
        <f>A107+1</f>
        <v>61</v>
      </c>
      <c r="B108" s="61" t="s">
        <v>145</v>
      </c>
      <c r="C108" s="61"/>
      <c r="D108" s="34">
        <f>D104+D105+D106+D107</f>
        <v>438329</v>
      </c>
      <c r="E108" s="34">
        <f>E104+E105+E106+E107</f>
        <v>40867</v>
      </c>
      <c r="F108" s="34">
        <f t="shared" ref="F108:P108" si="30">F104+F105+F106+F107</f>
        <v>37768</v>
      </c>
      <c r="G108" s="34">
        <f t="shared" si="30"/>
        <v>91606</v>
      </c>
      <c r="H108" s="34">
        <f t="shared" si="30"/>
        <v>122083</v>
      </c>
      <c r="I108" s="34">
        <f t="shared" si="30"/>
        <v>34547</v>
      </c>
      <c r="J108" s="34">
        <f t="shared" si="30"/>
        <v>44007</v>
      </c>
      <c r="K108" s="34">
        <f t="shared" si="30"/>
        <v>52526</v>
      </c>
      <c r="L108" s="34">
        <f t="shared" si="30"/>
        <v>14925</v>
      </c>
      <c r="M108" s="34">
        <f t="shared" si="30"/>
        <v>0</v>
      </c>
      <c r="N108" s="34">
        <f t="shared" si="30"/>
        <v>0</v>
      </c>
      <c r="O108" s="34">
        <f t="shared" si="30"/>
        <v>0</v>
      </c>
      <c r="P108" s="34">
        <f t="shared" si="30"/>
        <v>0</v>
      </c>
      <c r="Q108" s="150"/>
      <c r="R108" s="151"/>
    </row>
    <row r="109" spans="1:18" ht="9" customHeight="1">
      <c r="A109" s="69"/>
      <c r="E109" s="19"/>
      <c r="F109" s="19"/>
      <c r="G109" s="19"/>
      <c r="H109" s="19"/>
      <c r="I109" s="19"/>
      <c r="J109" s="19"/>
      <c r="K109" s="19"/>
      <c r="L109" s="19"/>
      <c r="M109" s="19"/>
      <c r="N109" s="19"/>
      <c r="O109" s="19"/>
      <c r="P109" s="19"/>
      <c r="Q109" s="147"/>
      <c r="R109" s="148"/>
    </row>
    <row r="110" spans="1:18">
      <c r="A110" s="69"/>
      <c r="B110" s="8" t="s">
        <v>190</v>
      </c>
      <c r="C110" s="8"/>
      <c r="E110" s="19"/>
      <c r="F110" s="19"/>
      <c r="G110" s="19"/>
      <c r="H110" s="19"/>
      <c r="I110" s="19"/>
      <c r="J110" s="19"/>
      <c r="K110" s="19"/>
      <c r="L110" s="19"/>
      <c r="M110" s="19"/>
      <c r="N110" s="19"/>
      <c r="O110" s="19"/>
      <c r="P110" s="19"/>
      <c r="Q110" s="147"/>
      <c r="R110" s="148"/>
    </row>
    <row r="111" spans="1:18">
      <c r="A111" s="69">
        <f>A108+1</f>
        <v>62</v>
      </c>
      <c r="B111" s="4" t="s">
        <v>63</v>
      </c>
      <c r="D111" s="125">
        <f>SUM(E111:P111)</f>
        <v>-985458</v>
      </c>
      <c r="E111" s="19">
        <f>_xll.Get_Balance(E$85,"PTD","USD","Total","A","","001","557010","ED","AN","DL")</f>
        <v>-1474233</v>
      </c>
      <c r="F111" s="19">
        <f>_xll.Get_Balance(F$85,"PTD","USD","Total","A","","001","557010","ED","AN","DL")</f>
        <v>-1315566</v>
      </c>
      <c r="G111" s="19">
        <f>_xll.Get_Balance(G$85,"PTD","USD","Total","A","","001","557010","ED","AN","DL")</f>
        <v>-3221388</v>
      </c>
      <c r="H111" s="19">
        <f>_xll.Get_Balance(H$85,"PTD","USD","Total","A","","001","557010","ED","AN","DL")</f>
        <v>-270280</v>
      </c>
      <c r="I111" s="19">
        <f>_xll.Get_Balance(I$85,"PTD","USD","Total","A","","001","557010","ED","AN","DL")</f>
        <v>1134947</v>
      </c>
      <c r="J111" s="19">
        <f>_xll.Get_Balance(J$85,"PTD","USD","Total","A","","001","557010","ED","AN","DL")</f>
        <v>1320678</v>
      </c>
      <c r="K111" s="19">
        <f>_xll.Get_Balance(K$85,"PTD","USD","Total","A","","001","557010","ED","AN","DL")</f>
        <v>1701789</v>
      </c>
      <c r="L111" s="19">
        <f>_xll.Get_Balance(L$85,"PTD","USD","Total","A","","001","557010","ED","AN","DL")</f>
        <v>1138595</v>
      </c>
      <c r="M111" s="19">
        <f>_xll.Get_Balance(M$85,"PTD","USD","Total","A","","001","557010","ED","AN","DL")</f>
        <v>0</v>
      </c>
      <c r="N111" s="19">
        <f>_xll.Get_Balance(N$85,"PTD","USD","Total","A","","001","557010","ED","AN","DL")</f>
        <v>0</v>
      </c>
      <c r="O111" s="19">
        <f>_xll.Get_Balance(O$85,"PTD","USD","Total","A","","001","557010","ED","AN","DL")</f>
        <v>0</v>
      </c>
      <c r="P111" s="19">
        <f>_xll.Get_Balance(P$85,"PTD","USD","Total","A","","001","557010","ED","AN","DL")</f>
        <v>0</v>
      </c>
      <c r="Q111" s="147"/>
      <c r="R111" s="148">
        <f t="shared" ref="R111:R121" si="31">SUM(E111:P111)</f>
        <v>-985458</v>
      </c>
    </row>
    <row r="112" spans="1:18">
      <c r="A112" s="69">
        <f>A111+1</f>
        <v>63</v>
      </c>
      <c r="B112" s="4" t="s">
        <v>53</v>
      </c>
      <c r="D112" s="125">
        <f t="shared" ref="D112:D121" si="32">SUM(E112:P112)</f>
        <v>-6406187</v>
      </c>
      <c r="E112" s="19">
        <f>_xll.Get_Balance(E$85,"PTD","USD","Total","A","","001","557150","ED","AN","DL")</f>
        <v>-901820</v>
      </c>
      <c r="F112" s="19">
        <f>_xll.Get_Balance(F$85,"PTD","USD","Total","A","","001","557150","ED","AN","DL")</f>
        <v>-932881</v>
      </c>
      <c r="G112" s="19">
        <f>_xll.Get_Balance(G$85,"PTD","USD","Total","A","","001","557150","ED","AN","DL")</f>
        <v>-215216</v>
      </c>
      <c r="H112" s="19">
        <f>_xll.Get_Balance(H$85,"PTD","USD","Total","A","","001","557150","ED","AN","DL")</f>
        <v>101314</v>
      </c>
      <c r="I112" s="19">
        <f>_xll.Get_Balance(I$85,"PTD","USD","Total","A","","001","557150","ED","AN","DL")</f>
        <v>-83446</v>
      </c>
      <c r="J112" s="19">
        <f>_xll.Get_Balance(J$85,"PTD","USD","Total","A","","001","557150","ED","AN","DL")</f>
        <v>-226107</v>
      </c>
      <c r="K112" s="19">
        <f>_xll.Get_Balance(K$85,"PTD","USD","Total","A","","001","557150","ED","AN","DL")</f>
        <v>-1914467</v>
      </c>
      <c r="L112" s="19">
        <f>_xll.Get_Balance(L$85,"PTD","USD","Total","A","","001","557150","ED","AN","DL")</f>
        <v>-2233564</v>
      </c>
      <c r="M112" s="19">
        <f>_xll.Get_Balance(M$85,"PTD","USD","Total","A","","001","557150","ED","AN","DL")</f>
        <v>0</v>
      </c>
      <c r="N112" s="19">
        <f>_xll.Get_Balance(N$85,"PTD","USD","Total","A","","001","557150","ED","AN","DL")</f>
        <v>0</v>
      </c>
      <c r="O112" s="19">
        <f>_xll.Get_Balance(O$85,"PTD","USD","Total","A","","001","557150","ED","AN","DL")</f>
        <v>0</v>
      </c>
      <c r="P112" s="19">
        <f>_xll.Get_Balance(P$85,"PTD","USD","Total","A","","001","557150","ED","AN","DL")</f>
        <v>0</v>
      </c>
      <c r="Q112" s="147"/>
      <c r="R112" s="148">
        <f t="shared" si="31"/>
        <v>-6406187</v>
      </c>
    </row>
    <row r="113" spans="1:18">
      <c r="A113" s="69">
        <f t="shared" ref="A113:A121" si="33">A112+1</f>
        <v>64</v>
      </c>
      <c r="B113" s="4" t="s">
        <v>54</v>
      </c>
      <c r="D113" s="125">
        <f t="shared" si="32"/>
        <v>3782931</v>
      </c>
      <c r="E113" s="19">
        <f>_xll.Get_Balance(E$85,"PTD","USD","Total","A","","001","557700","ED","AN","DL")</f>
        <v>872753</v>
      </c>
      <c r="F113" s="19">
        <f>_xll.Get_Balance(F$85,"PTD","USD","Total","A","","001","557700","ED","AN","DL")</f>
        <v>2031932</v>
      </c>
      <c r="G113" s="19">
        <f>_xll.Get_Balance(G$85,"PTD","USD","Total","A","","001","557700","ED","AN","DL")</f>
        <v>721925</v>
      </c>
      <c r="H113" s="19">
        <f>_xll.Get_Balance(H$85,"PTD","USD","Total","A","","001","557700","ED","AN","DL")</f>
        <v>37881</v>
      </c>
      <c r="I113" s="19">
        <f>_xll.Get_Balance(I$85,"PTD","USD","Total","A","","001","557700","ED","AN","DL")</f>
        <v>0</v>
      </c>
      <c r="J113" s="19">
        <f>_xll.Get_Balance(J$85,"PTD","USD","Total","A","","001","557700","ED","AN","DL")</f>
        <v>0</v>
      </c>
      <c r="K113" s="19">
        <f>_xll.Get_Balance(K$85,"PTD","USD","Total","A","","001","557700","ED","AN","DL")</f>
        <v>0</v>
      </c>
      <c r="L113" s="19">
        <f>_xll.Get_Balance(L$85,"PTD","USD","Total","A","","001","557700","ED","AN","DL")</f>
        <v>118440</v>
      </c>
      <c r="M113" s="19">
        <f>_xll.Get_Balance(M$85,"PTD","USD","Total","A","","001","557700","ED","AN","DL")</f>
        <v>0</v>
      </c>
      <c r="N113" s="19">
        <f>_xll.Get_Balance(N$85,"PTD","USD","Total","A","","001","557700","ED","AN","DL")</f>
        <v>0</v>
      </c>
      <c r="O113" s="19">
        <f>_xll.Get_Balance(O$85,"PTD","USD","Total","A","","001","557700","ED","AN","DL")</f>
        <v>0</v>
      </c>
      <c r="P113" s="19">
        <f>_xll.Get_Balance(P$85,"PTD","USD","Total","A","","001","557700","ED","AN","DL")</f>
        <v>0</v>
      </c>
      <c r="Q113" s="147"/>
      <c r="R113" s="148">
        <f t="shared" si="31"/>
        <v>3782931</v>
      </c>
    </row>
    <row r="114" spans="1:18">
      <c r="A114" s="69">
        <f t="shared" si="33"/>
        <v>65</v>
      </c>
      <c r="B114" s="3" t="s">
        <v>70</v>
      </c>
      <c r="C114" s="3"/>
      <c r="D114" s="125">
        <f t="shared" si="32"/>
        <v>-3782931</v>
      </c>
      <c r="E114" s="19">
        <f>_xll.Get_Balance(E$85,"PTD","USD","Total","A","","001","557711","ED","AN","DL")</f>
        <v>-872753</v>
      </c>
      <c r="F114" s="19">
        <f>_xll.Get_Balance(F$85,"PTD","USD","Total","A","","001","557711","ED","AN","DL")</f>
        <v>-2031932</v>
      </c>
      <c r="G114" s="19">
        <f>_xll.Get_Balance(G$85,"PTD","USD","Total","A","","001","557711","ED","AN","DL")</f>
        <v>-721925</v>
      </c>
      <c r="H114" s="19">
        <f>_xll.Get_Balance(H$85,"PTD","USD","Total","A","","001","557711","ED","AN","DL")</f>
        <v>-37881</v>
      </c>
      <c r="I114" s="19">
        <f>_xll.Get_Balance(I$85,"PTD","USD","Total","A","","001","557711","ED","AN","DL")</f>
        <v>0</v>
      </c>
      <c r="J114" s="19">
        <f>_xll.Get_Balance(J$85,"PTD","USD","Total","A","","001","557711","ED","AN","DL")</f>
        <v>0</v>
      </c>
      <c r="K114" s="19">
        <f>_xll.Get_Balance(K$85,"PTD","USD","Total","A","","001","557711","ED","AN","DL")</f>
        <v>0</v>
      </c>
      <c r="L114" s="19">
        <f>_xll.Get_Balance(L$85,"PTD","USD","Total","A","","001","557711","ED","AN","DL")</f>
        <v>-118440</v>
      </c>
      <c r="M114" s="19">
        <f>_xll.Get_Balance(M$85,"PTD","USD","Total","A","","001","557711","ED","AN","DL")</f>
        <v>0</v>
      </c>
      <c r="N114" s="19">
        <f>_xll.Get_Balance(N$85,"PTD","USD","Total","A","","001","557711","ED","AN","DL")</f>
        <v>0</v>
      </c>
      <c r="O114" s="19">
        <f>_xll.Get_Balance(O$85,"PTD","USD","Total","A","","001","557711","ED","AN","DL")</f>
        <v>0</v>
      </c>
      <c r="P114" s="19">
        <f>_xll.Get_Balance(P$85,"PTD","USD","Total","A","","001","557711","ED","AN","DL")</f>
        <v>0</v>
      </c>
      <c r="Q114" s="147"/>
      <c r="R114" s="148">
        <f>SUM(E114:P114)</f>
        <v>-3782931</v>
      </c>
    </row>
    <row r="115" spans="1:18">
      <c r="A115" s="69">
        <f t="shared" si="33"/>
        <v>66</v>
      </c>
      <c r="B115" s="4" t="s">
        <v>65</v>
      </c>
      <c r="D115" s="125">
        <f t="shared" si="32"/>
        <v>39249008</v>
      </c>
      <c r="E115" s="19">
        <f>_xll.Get_Balance(E$85,"PTD","USD","Total","A","","001","557730","ED","AN","DL")</f>
        <v>4906385</v>
      </c>
      <c r="F115" s="19">
        <f>_xll.Get_Balance(F$85,"PTD","USD","Total","A","","001","557730","ED","AN","DL")</f>
        <v>11308805</v>
      </c>
      <c r="G115" s="19">
        <f>_xll.Get_Balance(G$85,"PTD","USD","Total","A","","001","557730","ED","AN","DL")</f>
        <v>7530576</v>
      </c>
      <c r="H115" s="19">
        <f>_xll.Get_Balance(H$85,"PTD","USD","Total","A","","001","557730","ED","AN","DL")</f>
        <v>2058108</v>
      </c>
      <c r="I115" s="19">
        <f>_xll.Get_Balance(I$85,"PTD","USD","Total","A","","001","557730","ED","AN","DL")</f>
        <v>2986579</v>
      </c>
      <c r="J115" s="19">
        <f>_xll.Get_Balance(J$85,"PTD","USD","Total","A","","001","557730","ED","AN","DL")</f>
        <v>1464224</v>
      </c>
      <c r="K115" s="19">
        <f>_xll.Get_Balance(K$85,"PTD","USD","Total","A","","001","557730","ED","AN","DL")</f>
        <v>3530258</v>
      </c>
      <c r="L115" s="19">
        <f>_xll.Get_Balance(L$85,"PTD","USD","Total","A","","001","557730","ED","AN","DL")</f>
        <v>5464073</v>
      </c>
      <c r="M115" s="19">
        <f>_xll.Get_Balance(M$85,"PTD","USD","Total","A","","001","557730","ED","AN","DL")</f>
        <v>0</v>
      </c>
      <c r="N115" s="19">
        <f>_xll.Get_Balance(N$85,"PTD","USD","Total","A","","001","557730","ED","AN","DL")</f>
        <v>0</v>
      </c>
      <c r="O115" s="19">
        <f>_xll.Get_Balance(O$85,"PTD","USD","Total","A","","001","557730","ED","AN","DL")</f>
        <v>0</v>
      </c>
      <c r="P115" s="19">
        <f>_xll.Get_Balance(P$85,"PTD","USD","Total","A","","001","557730","ED","AN","DL")</f>
        <v>0</v>
      </c>
      <c r="Q115" s="147"/>
      <c r="R115" s="148">
        <f t="shared" si="31"/>
        <v>39249008</v>
      </c>
    </row>
    <row r="116" spans="1:18">
      <c r="A116" s="69">
        <f t="shared" si="33"/>
        <v>67</v>
      </c>
      <c r="B116" s="3" t="s">
        <v>68</v>
      </c>
      <c r="C116" s="3"/>
      <c r="D116" s="125">
        <f t="shared" si="32"/>
        <v>6158811</v>
      </c>
      <c r="E116" s="19">
        <f>_xll.Get_Balance(E$85,"PTD","USD","Total","A","","001","456010","ED","AN","DL")</f>
        <v>2639859</v>
      </c>
      <c r="F116" s="19">
        <f>_xll.Get_Balance(F$85,"PTD","USD","Total","A","","001","456010","ED","AN","DL")</f>
        <v>1581251</v>
      </c>
      <c r="G116" s="19">
        <f>_xll.Get_Balance(G$85,"PTD","USD","Total","A","","001","456010","ED","AN","DL")</f>
        <v>3230099</v>
      </c>
      <c r="H116" s="19">
        <f>_xll.Get_Balance(H$85,"PTD","USD","Total","A","","001","456010","ED","AN","DL")</f>
        <v>291533</v>
      </c>
      <c r="I116" s="19">
        <f>_xll.Get_Balance(I$85,"PTD","USD","Total","A","","001","456010","ED","AN","DL")</f>
        <v>-781355</v>
      </c>
      <c r="J116" s="19">
        <f>_xll.Get_Balance(J$85,"PTD","USD","Total","A","","001","456010","ED","AN","DL")</f>
        <v>-780953</v>
      </c>
      <c r="K116" s="19">
        <f>_xll.Get_Balance(K$85,"PTD","USD","Total","A","","001","456010","ED","AN","DL")</f>
        <v>-230059</v>
      </c>
      <c r="L116" s="19">
        <f>_xll.Get_Balance(L$85,"PTD","USD","Total","A","","001","456010","ED","AN","DL")</f>
        <v>208436</v>
      </c>
      <c r="M116" s="19">
        <f>_xll.Get_Balance(M$85,"PTD","USD","Total","A","","001","456010","ED","AN","DL")</f>
        <v>0</v>
      </c>
      <c r="N116" s="19">
        <f>_xll.Get_Balance(N$85,"PTD","USD","Total","A","","001","456010","ED","AN","DL")</f>
        <v>0</v>
      </c>
      <c r="O116" s="19">
        <f>_xll.Get_Balance(O$85,"PTD","USD","Total","A","","001","456010","ED","AN","DL")</f>
        <v>0</v>
      </c>
      <c r="P116" s="19">
        <f>_xll.Get_Balance(P$85,"PTD","USD","Total","A","","001","456010","ED","AN","DL")</f>
        <v>0</v>
      </c>
      <c r="Q116" s="147"/>
      <c r="R116" s="148">
        <f t="shared" si="31"/>
        <v>6158811</v>
      </c>
    </row>
    <row r="117" spans="1:18">
      <c r="A117" s="69">
        <f t="shared" si="33"/>
        <v>68</v>
      </c>
      <c r="B117" s="4" t="s">
        <v>55</v>
      </c>
      <c r="D117" s="125">
        <f t="shared" si="32"/>
        <v>-11054616</v>
      </c>
      <c r="E117" s="19">
        <f>_xll.Get_Balance(E$85,"PTD","USD","Total","A","","001","456015","ED","AN","DL")</f>
        <v>-2364599</v>
      </c>
      <c r="F117" s="19">
        <f>_xll.Get_Balance(F$85,"PTD","USD","Total","A","","001","456015","ED","AN","DL")</f>
        <v>-917000</v>
      </c>
      <c r="G117" s="19">
        <f>_xll.Get_Balance(G$85,"PTD","USD","Total","A","","001","456015","ED","AN","DL")</f>
        <v>-631570</v>
      </c>
      <c r="H117" s="19">
        <f>_xll.Get_Balance(H$85,"PTD","USD","Total","A","","001","456015","ED","AN","DL")</f>
        <v>-100217</v>
      </c>
      <c r="I117" s="19">
        <f>_xll.Get_Balance(I$85,"PTD","USD","Total","A","","001","456015","ED","AN","DL")</f>
        <v>-2561606</v>
      </c>
      <c r="J117" s="19">
        <f>_xll.Get_Balance(J$85,"PTD","USD","Total","A","","001","456015","ED","AN","DL")</f>
        <v>-1130111</v>
      </c>
      <c r="K117" s="19">
        <f>_xll.Get_Balance(K$85,"PTD","USD","Total","A","","001","456015","ED","AN","DL")</f>
        <v>-190255</v>
      </c>
      <c r="L117" s="19">
        <f>_xll.Get_Balance(L$85,"PTD","USD","Total","A","","001","456015","ED","AN","DL")</f>
        <v>-3159258</v>
      </c>
      <c r="M117" s="19">
        <f>_xll.Get_Balance(M$85,"PTD","USD","Total","A","","001","456015","ED","AN","DL")</f>
        <v>0</v>
      </c>
      <c r="N117" s="19">
        <f>_xll.Get_Balance(N$85,"PTD","USD","Total","A","","001","456015","ED","AN","DL")</f>
        <v>0</v>
      </c>
      <c r="O117" s="19">
        <f>_xll.Get_Balance(O$85,"PTD","USD","Total","A","","001","456015","ED","AN","DL")</f>
        <v>0</v>
      </c>
      <c r="P117" s="19">
        <f>_xll.Get_Balance(P$85,"PTD","USD","Total","A","","001","456015","ED","AN","DL")</f>
        <v>0</v>
      </c>
      <c r="Q117" s="147"/>
      <c r="R117" s="148">
        <f t="shared" si="31"/>
        <v>-11054616</v>
      </c>
    </row>
    <row r="118" spans="1:18">
      <c r="A118" s="69">
        <f t="shared" si="33"/>
        <v>69</v>
      </c>
      <c r="B118" s="4" t="s">
        <v>182</v>
      </c>
      <c r="D118" s="125">
        <f t="shared" si="32"/>
        <v>-258360</v>
      </c>
      <c r="E118" s="19">
        <f>_xll.Get_Balance(E$85,"PTD","USD","Total","A","","001","456018","ED","AN","DL")</f>
        <v>-41138</v>
      </c>
      <c r="F118" s="19">
        <f>_xll.Get_Balance(F$85,"PTD","USD","Total","A","","001","456018","ED","AN","DL")</f>
        <v>-37365</v>
      </c>
      <c r="G118" s="19">
        <f>_xll.Get_Balance(G$85,"PTD","USD","Total","A","","001","456018","ED","AN","DL")</f>
        <v>-27425</v>
      </c>
      <c r="H118" s="19">
        <f>_xll.Get_Balance(H$85,"PTD","USD","Total","A","","001","456018","ED","AN","DL")</f>
        <v>-33247</v>
      </c>
      <c r="I118" s="19">
        <f>_xll.Get_Balance(I$85,"PTD","USD","Total","A","","001","456018","ED","AN","DL")</f>
        <v>-34636</v>
      </c>
      <c r="J118" s="19">
        <f>_xll.Get_Balance(J$85,"PTD","USD","Total","A","","001","456018","ED","AN","DL")</f>
        <v>-30473</v>
      </c>
      <c r="K118" s="19">
        <f>_xll.Get_Balance(K$85,"PTD","USD","Total","A","","001","456018","ED","AN","DL")</f>
        <v>-25386</v>
      </c>
      <c r="L118" s="19">
        <f>_xll.Get_Balance(L$85,"PTD","USD","Total","A","","001","456018","ED","AN","DL")</f>
        <v>-28690</v>
      </c>
      <c r="M118" s="19">
        <f>_xll.Get_Balance(M$85,"PTD","USD","Total","A","","001","456018","ED","AN","DL")</f>
        <v>0</v>
      </c>
      <c r="N118" s="19">
        <f>_xll.Get_Balance(N$85,"PTD","USD","Total","A","","001","456018","ED","AN","DL")</f>
        <v>0</v>
      </c>
      <c r="O118" s="19">
        <f>_xll.Get_Balance(O$85,"PTD","USD","Total","A","","001","456018","ED","AN","DL")</f>
        <v>0</v>
      </c>
      <c r="P118" s="19">
        <f>_xll.Get_Balance(P$85,"PTD","USD","Total","A","","001","456018","ED","AN","DL")</f>
        <v>0</v>
      </c>
      <c r="Q118" s="147"/>
      <c r="R118" s="148"/>
    </row>
    <row r="119" spans="1:18">
      <c r="A119" s="69">
        <f t="shared" si="33"/>
        <v>70</v>
      </c>
      <c r="B119" s="4" t="s">
        <v>66</v>
      </c>
      <c r="D119" s="125">
        <f t="shared" si="32"/>
        <v>-30537435</v>
      </c>
      <c r="E119" s="19">
        <f>_xll.Get_Balance(E$85,"PTD","USD","Total","A","","001","456730","ED","AN","DL")</f>
        <v>-2026094</v>
      </c>
      <c r="F119" s="19">
        <f>_xll.Get_Balance(F$85,"PTD","USD","Total","A","","001","456730","ED","AN","DL")</f>
        <v>-12172302</v>
      </c>
      <c r="G119" s="19">
        <f>_xll.Get_Balance(G$85,"PTD","USD","Total","A","","001","456730","ED","AN","DL")</f>
        <v>-5497562</v>
      </c>
      <c r="H119" s="19">
        <f>_xll.Get_Balance(H$85,"PTD","USD","Total","A","","001","456730","ED","AN","DL")</f>
        <v>-2486281</v>
      </c>
      <c r="I119" s="19">
        <f>_xll.Get_Balance(I$85,"PTD","USD","Total","A","","001","456730","ED","AN","DL")</f>
        <v>-1761391</v>
      </c>
      <c r="J119" s="19">
        <f>_xll.Get_Balance(J$85,"PTD","USD","Total","A","","001","456730","ED","AN","DL")</f>
        <v>-1792234</v>
      </c>
      <c r="K119" s="19">
        <f>_xll.Get_Balance(K$85,"PTD","USD","Total","A","","001","456730","ED","AN","DL")</f>
        <v>-3452532</v>
      </c>
      <c r="L119" s="19">
        <f>_xll.Get_Balance(L$85,"PTD","USD","Total","A","","001","456730","ED","AN","DL")</f>
        <v>-1349039</v>
      </c>
      <c r="M119" s="19">
        <f>_xll.Get_Balance(M$85,"PTD","USD","Total","A","","001","456730","ED","AN","DL")</f>
        <v>0</v>
      </c>
      <c r="N119" s="19">
        <f>_xll.Get_Balance(N$85,"PTD","USD","Total","A","","001","456730","ED","AN","DL")</f>
        <v>0</v>
      </c>
      <c r="O119" s="19">
        <f>_xll.Get_Balance(O$85,"PTD","USD","Total","A","","001","456730","ED","AN","DL")</f>
        <v>0</v>
      </c>
      <c r="P119" s="19">
        <f>_xll.Get_Balance(P$85,"PTD","USD","Total","A","","001","456730","ED","AN","DL")</f>
        <v>0</v>
      </c>
      <c r="Q119" s="147"/>
      <c r="R119" s="148">
        <f t="shared" si="31"/>
        <v>-30537435</v>
      </c>
    </row>
    <row r="120" spans="1:18">
      <c r="A120" s="69">
        <f t="shared" si="33"/>
        <v>71</v>
      </c>
      <c r="B120" s="3" t="s">
        <v>69</v>
      </c>
      <c r="C120" s="3"/>
      <c r="D120" s="125">
        <f t="shared" si="32"/>
        <v>2155142</v>
      </c>
      <c r="E120" s="15">
        <f>_xll.Get_Balance(E$85,"PTD","USD","Total","A","","001","456711","ED","AN","DL")</f>
        <v>746325</v>
      </c>
      <c r="F120" s="15">
        <f>_xll.Get_Balance(F$85,"PTD","USD","Total","A","","001","456711","ED","AN","DL")</f>
        <v>345718</v>
      </c>
      <c r="G120" s="15">
        <f>_xll.Get_Balance(G$85,"PTD","USD","Total","A","","001","456711","ED","AN","DL")</f>
        <v>612250</v>
      </c>
      <c r="H120" s="15">
        <f>_xll.Get_Balance(H$85,"PTD","USD","Total","A","","001","456711","ED","AN","DL")</f>
        <v>0</v>
      </c>
      <c r="I120" s="15">
        <f>_xll.Get_Balance(I$85,"PTD","USD","Total","A","","001","456711","ED","AN","DL")</f>
        <v>364286</v>
      </c>
      <c r="J120" s="15">
        <f>_xll.Get_Balance(J$85,"PTD","USD","Total","A","","001","456711","ED","AN","DL")</f>
        <v>0</v>
      </c>
      <c r="K120" s="15">
        <f>_xll.Get_Balance(K$85,"PTD","USD","Total","A","","001","456711","ED","AN","DL")</f>
        <v>0</v>
      </c>
      <c r="L120" s="15">
        <f>_xll.Get_Balance(L$85,"PTD","USD","Total","A","","001","456711","ED","AN","DL")</f>
        <v>86563</v>
      </c>
      <c r="M120" s="15">
        <f>_xll.Get_Balance(M$85,"PTD","USD","Total","A","","001","456711","ED","AN","DL")</f>
        <v>0</v>
      </c>
      <c r="N120" s="15">
        <f>_xll.Get_Balance(N$85,"PTD","USD","Total","A","","001","456711","ED","AN","DL")</f>
        <v>0</v>
      </c>
      <c r="O120" s="15">
        <f>_xll.Get_Balance(O$85,"PTD","USD","Total","A","","001","456711","ED","AN","DL")</f>
        <v>0</v>
      </c>
      <c r="P120" s="15">
        <f>_xll.Get_Balance(P$85,"PTD","USD","Total","A","","001","456711","ED","AN","DL")</f>
        <v>0</v>
      </c>
      <c r="Q120" s="147"/>
      <c r="R120" s="152">
        <f>SUM(E120:P120)</f>
        <v>2155142</v>
      </c>
    </row>
    <row r="121" spans="1:18">
      <c r="A121" s="69">
        <f t="shared" si="33"/>
        <v>72</v>
      </c>
      <c r="B121" s="56" t="s">
        <v>56</v>
      </c>
      <c r="C121" s="56"/>
      <c r="D121" s="125">
        <f t="shared" si="32"/>
        <v>-2155142</v>
      </c>
      <c r="E121" s="31">
        <f>_xll.Get_Balance(E$85,"PTD","USD","Total","A","","001","456720","ED","AN","DL")</f>
        <v>-746325</v>
      </c>
      <c r="F121" s="31">
        <f>_xll.Get_Balance(F$85,"PTD","USD","Total","A","","001","456720","ED","AN","DL")</f>
        <v>-345718</v>
      </c>
      <c r="G121" s="31">
        <f>_xll.Get_Balance(G$85,"PTD","USD","Total","A","","001","456720","ED","AN","DL")</f>
        <v>-612250</v>
      </c>
      <c r="H121" s="31">
        <f>_xll.Get_Balance(H$85,"PTD","USD","Total","A","","001","456720","ED","AN","DL")</f>
        <v>0</v>
      </c>
      <c r="I121" s="31">
        <f>_xll.Get_Balance(I$85,"PTD","USD","Total","A","","001","456720","ED","AN","DL")</f>
        <v>-364286</v>
      </c>
      <c r="J121" s="31">
        <f>_xll.Get_Balance(J$85,"PTD","USD","Total","A","","001","456720","ED","AN","DL")</f>
        <v>0</v>
      </c>
      <c r="K121" s="31">
        <f>_xll.Get_Balance(K$85,"PTD","USD","Total","A","","001","456720","ED","AN","DL")</f>
        <v>0</v>
      </c>
      <c r="L121" s="31">
        <f>_xll.Get_Balance(L$85,"PTD","USD","Total","A","","001","456720","ED","AN","DL")</f>
        <v>-86563</v>
      </c>
      <c r="M121" s="31">
        <f>_xll.Get_Balance(M$85,"PTD","USD","Total","A","","001","456720","ED","AN","DL")</f>
        <v>0</v>
      </c>
      <c r="N121" s="31">
        <f>_xll.Get_Balance(N$85,"PTD","USD","Total","A","","001","456720","ED","AN","DL")</f>
        <v>0</v>
      </c>
      <c r="O121" s="31">
        <f>_xll.Get_Balance(O$85,"PTD","USD","Total","A","","001","456720","ED","AN","DL")</f>
        <v>0</v>
      </c>
      <c r="P121" s="31">
        <f>_xll.Get_Balance(P$85,"PTD","USD","Total","A","","001","456720","ED","AN","DL")</f>
        <v>0</v>
      </c>
      <c r="Q121" s="147"/>
      <c r="R121" s="149">
        <f t="shared" si="31"/>
        <v>-2155142</v>
      </c>
    </row>
    <row r="122" spans="1:18" ht="22.5" customHeight="1">
      <c r="A122" s="160">
        <f>+A121+1</f>
        <v>73</v>
      </c>
      <c r="B122" s="61" t="s">
        <v>191</v>
      </c>
      <c r="C122" s="61"/>
      <c r="D122" s="34">
        <f>SUM(E122:P122)</f>
        <v>-3834237</v>
      </c>
      <c r="E122" s="17">
        <f>SUM(E111:E121)</f>
        <v>738360</v>
      </c>
      <c r="F122" s="17">
        <f t="shared" ref="F122:P122" si="34">SUM(F111:F121)</f>
        <v>-2485058</v>
      </c>
      <c r="G122" s="17">
        <f t="shared" si="34"/>
        <v>1167514</v>
      </c>
      <c r="H122" s="17">
        <f t="shared" si="34"/>
        <v>-439070</v>
      </c>
      <c r="I122" s="17">
        <f t="shared" si="34"/>
        <v>-1100908</v>
      </c>
      <c r="J122" s="17">
        <f t="shared" si="34"/>
        <v>-1174976</v>
      </c>
      <c r="K122" s="17">
        <f t="shared" si="34"/>
        <v>-580652</v>
      </c>
      <c r="L122" s="17">
        <f t="shared" si="34"/>
        <v>40553</v>
      </c>
      <c r="M122" s="17">
        <f t="shared" si="34"/>
        <v>0</v>
      </c>
      <c r="N122" s="17">
        <f t="shared" si="34"/>
        <v>0</v>
      </c>
      <c r="O122" s="17">
        <f t="shared" si="34"/>
        <v>0</v>
      </c>
      <c r="P122" s="17">
        <f t="shared" si="34"/>
        <v>0</v>
      </c>
      <c r="Q122" s="147"/>
      <c r="R122" s="161">
        <f>SUM(R111:R121)</f>
        <v>-3575877</v>
      </c>
    </row>
    <row r="123" spans="1:18" ht="9" customHeight="1">
      <c r="A123" s="69"/>
      <c r="E123" s="21"/>
      <c r="F123" s="21"/>
      <c r="G123" s="21"/>
      <c r="H123" s="21"/>
      <c r="I123" s="21"/>
      <c r="J123" s="21"/>
      <c r="K123" s="21"/>
      <c r="L123" s="21"/>
      <c r="M123" s="21"/>
      <c r="N123" s="21"/>
      <c r="O123" s="21"/>
      <c r="P123" s="21"/>
      <c r="Q123" s="147"/>
      <c r="R123" s="148"/>
    </row>
    <row r="124" spans="1:18" ht="9" customHeight="1">
      <c r="A124" s="69"/>
      <c r="E124" s="21"/>
      <c r="F124" s="21"/>
      <c r="G124" s="21"/>
      <c r="H124" s="21"/>
      <c r="I124" s="21"/>
      <c r="J124" s="21"/>
      <c r="K124" s="21"/>
      <c r="L124" s="21"/>
      <c r="M124" s="21"/>
      <c r="N124" s="21"/>
      <c r="O124" s="21"/>
      <c r="P124" s="21"/>
      <c r="Q124" s="147"/>
      <c r="R124" s="148"/>
    </row>
    <row r="125" spans="1:18">
      <c r="A125" s="69">
        <f>A122+1</f>
        <v>74</v>
      </c>
      <c r="B125" s="63" t="s">
        <v>114</v>
      </c>
      <c r="C125" s="63"/>
      <c r="D125" s="84">
        <f>SUM(E125:P125)</f>
        <v>1453861</v>
      </c>
      <c r="E125" s="41">
        <f>_xll.Get_Balance(E$85,"PTD","USD","Total","A","","001","557160","ED","AN","DL")</f>
        <v>436</v>
      </c>
      <c r="F125" s="41">
        <f>_xll.Get_Balance(F$85,"PTD","USD","Total","A","","001","557160","ED","AN","DL")</f>
        <v>267</v>
      </c>
      <c r="G125" s="41">
        <f>_xll.Get_Balance(G$85,"PTD","USD","Total","A","","001","557160","ED","AN","DL")</f>
        <v>1452099</v>
      </c>
      <c r="H125" s="41">
        <f>_xll.Get_Balance(H$85,"PTD","USD","Total","A","","001","557160","ED","AN","DL")</f>
        <v>0</v>
      </c>
      <c r="I125" s="41">
        <f>_xll.Get_Balance(I$85,"PTD","USD","Total","A","","001","557160","ED","AN","DL")</f>
        <v>0</v>
      </c>
      <c r="J125" s="41">
        <f>_xll.Get_Balance(J$85,"PTD","USD","Total","A","","001","557160","ED","AN","DL")</f>
        <v>1059</v>
      </c>
      <c r="K125" s="41">
        <f>_xll.Get_Balance(K$85,"PTD","USD","Total","A","","001","557160","ED","AN","DL")</f>
        <v>0</v>
      </c>
      <c r="L125" s="41">
        <f>_xll.Get_Balance(L$85,"PTD","USD","Total","A","","001","557160","ED","AN","DL")</f>
        <v>0</v>
      </c>
      <c r="M125" s="41">
        <f>_xll.Get_Balance(M$85,"PTD","USD","Total","A","","001","557160","ED","AN","DL")</f>
        <v>0</v>
      </c>
      <c r="N125" s="41">
        <f>_xll.Get_Balance(N$85,"PTD","USD","Total","A","","001","557160","ED","AN","DL")</f>
        <v>0</v>
      </c>
      <c r="O125" s="41">
        <f>_xll.Get_Balance(O$85,"PTD","USD","Total","A","","001","557160","ED","AN","DL")</f>
        <v>0</v>
      </c>
      <c r="P125" s="41">
        <f>_xll.Get_Balance(P$85,"PTD","USD","Total","A","","001","557160","ED","AN","DL")</f>
        <v>0</v>
      </c>
      <c r="Q125" s="147"/>
      <c r="R125" s="152">
        <f>SUM(E125:P125)</f>
        <v>1453861</v>
      </c>
    </row>
    <row r="126" spans="1:18" ht="18.75" customHeight="1">
      <c r="A126" s="160">
        <f>A125+1</f>
        <v>75</v>
      </c>
      <c r="B126" s="61" t="s">
        <v>119</v>
      </c>
      <c r="C126" s="61"/>
      <c r="D126" s="49">
        <f>SUM(E126:P126)</f>
        <v>1453861</v>
      </c>
      <c r="E126" s="16">
        <f t="shared" ref="E126:P126" si="35">IF(E23=0," ",E125)</f>
        <v>436</v>
      </c>
      <c r="F126" s="16">
        <f t="shared" si="35"/>
        <v>267</v>
      </c>
      <c r="G126" s="16">
        <f t="shared" si="35"/>
        <v>1452099</v>
      </c>
      <c r="H126" s="16">
        <f t="shared" si="35"/>
        <v>0</v>
      </c>
      <c r="I126" s="16">
        <f t="shared" si="35"/>
        <v>0</v>
      </c>
      <c r="J126" s="16">
        <f t="shared" si="35"/>
        <v>1059</v>
      </c>
      <c r="K126" s="16">
        <f t="shared" si="35"/>
        <v>0</v>
      </c>
      <c r="L126" s="16">
        <f t="shared" si="35"/>
        <v>0</v>
      </c>
      <c r="M126" s="16" t="str">
        <f t="shared" si="35"/>
        <v xml:space="preserve"> </v>
      </c>
      <c r="N126" s="16" t="str">
        <f t="shared" si="35"/>
        <v xml:space="preserve"> </v>
      </c>
      <c r="O126" s="16" t="str">
        <f t="shared" si="35"/>
        <v xml:space="preserve"> </v>
      </c>
      <c r="P126" s="16" t="str">
        <f t="shared" si="35"/>
        <v xml:space="preserve"> </v>
      </c>
      <c r="Q126" s="147"/>
      <c r="R126" s="148">
        <f>SUM(E126:P126)</f>
        <v>1453861</v>
      </c>
    </row>
    <row r="127" spans="1:18" ht="9" customHeight="1">
      <c r="A127" s="69"/>
      <c r="E127" s="21"/>
      <c r="F127" s="21"/>
      <c r="G127" s="21"/>
      <c r="H127" s="21"/>
      <c r="I127" s="21"/>
      <c r="J127" s="21"/>
      <c r="K127" s="21"/>
      <c r="L127" s="21"/>
      <c r="M127" s="21"/>
      <c r="N127" s="21"/>
      <c r="O127" s="21"/>
      <c r="P127" s="21"/>
      <c r="Q127" s="147"/>
      <c r="R127" s="148"/>
    </row>
    <row r="128" spans="1:18" ht="9" customHeight="1">
      <c r="A128" s="69"/>
      <c r="E128" s="21"/>
      <c r="F128" s="21"/>
      <c r="G128" s="21"/>
      <c r="H128" s="21"/>
      <c r="I128" s="21"/>
      <c r="J128" s="21"/>
      <c r="K128" s="21"/>
      <c r="L128" s="21"/>
      <c r="M128" s="21"/>
      <c r="N128" s="21"/>
      <c r="O128" s="21"/>
      <c r="P128" s="21"/>
      <c r="Q128" s="147"/>
      <c r="R128" s="148"/>
    </row>
    <row r="129" spans="1:19">
      <c r="A129" s="69">
        <f>A126+1</f>
        <v>76</v>
      </c>
      <c r="B129" s="58" t="s">
        <v>64</v>
      </c>
      <c r="C129" s="58"/>
      <c r="D129" s="41">
        <f>SUM(E129:P129)</f>
        <v>0</v>
      </c>
      <c r="E129" s="162">
        <v>0</v>
      </c>
      <c r="F129" s="162">
        <v>0</v>
      </c>
      <c r="G129" s="162">
        <v>0</v>
      </c>
      <c r="H129" s="162">
        <v>0</v>
      </c>
      <c r="I129" s="162">
        <v>0</v>
      </c>
      <c r="J129" s="162">
        <v>0</v>
      </c>
      <c r="K129" s="162">
        <v>0</v>
      </c>
      <c r="L129" s="162">
        <v>0</v>
      </c>
      <c r="M129" s="162">
        <v>0</v>
      </c>
      <c r="N129" s="162">
        <v>0</v>
      </c>
      <c r="O129" s="162">
        <v>0</v>
      </c>
      <c r="P129" s="162">
        <v>0</v>
      </c>
      <c r="Q129" s="147"/>
      <c r="R129" s="148">
        <f>SUM(E129:P129)</f>
        <v>0</v>
      </c>
      <c r="S129" s="39" t="s">
        <v>24</v>
      </c>
    </row>
    <row r="130" spans="1:19">
      <c r="A130" s="70">
        <f>A129+1</f>
        <v>77</v>
      </c>
      <c r="B130" s="64" t="s">
        <v>75</v>
      </c>
      <c r="C130" s="64"/>
      <c r="D130" s="49">
        <f>SUM(E130:P130)</f>
        <v>447</v>
      </c>
      <c r="E130" s="24">
        <f>_xll.Get_Balance(E$85,"PTD","USD","Total","A","","001","557395","ED","AN","DL")</f>
        <v>25</v>
      </c>
      <c r="F130" s="24">
        <f>_xll.Get_Balance(F$85,"PTD","USD","Total","A","","001","557395","ED","AN","DL")</f>
        <v>17</v>
      </c>
      <c r="G130" s="24">
        <f>_xll.Get_Balance(G$85,"PTD","USD","Total","A","","001","557395","ED","AN","DL")</f>
        <v>135</v>
      </c>
      <c r="H130" s="24">
        <f>_xll.Get_Balance(H$85,"PTD","USD","Total","A","","001","557395","ED","AN","DL")</f>
        <v>32</v>
      </c>
      <c r="I130" s="24">
        <f>_xll.Get_Balance(I$85,"PTD","USD","Total","A","","001","557395","ED","AN","DL")</f>
        <v>37</v>
      </c>
      <c r="J130" s="24">
        <f>_xll.Get_Balance(J$85,"PTD","USD","Total","A","","001","557395","ED","AN","DL")</f>
        <v>48</v>
      </c>
      <c r="K130" s="24">
        <f>_xll.Get_Balance(K$85,"PTD","USD","Total","A","","001","557395","ED","AN","DL")</f>
        <v>74</v>
      </c>
      <c r="L130" s="24">
        <f>_xll.Get_Balance(L$85,"PTD","USD","Total","A","","001","557395","ED","AN","DL")</f>
        <v>79</v>
      </c>
      <c r="M130" s="24">
        <f>_xll.Get_Balance(M$85,"PTD","USD","Total","A","","001","557395","ED","AN","DL")</f>
        <v>0</v>
      </c>
      <c r="N130" s="24">
        <f>_xll.Get_Balance(N$85,"PTD","USD","Total","A","","001","557395","ED","AN","DL")</f>
        <v>0</v>
      </c>
      <c r="O130" s="24">
        <f>_xll.Get_Balance(O$85,"PTD","USD","Total","A","","001","557395","ED","AN","DL")</f>
        <v>0</v>
      </c>
      <c r="P130" s="24">
        <f>_xll.Get_Balance(P$85,"PTD","USD","Total","A","","001","557395","ED","AN","DL")</f>
        <v>0</v>
      </c>
      <c r="Q130" s="147"/>
      <c r="R130" s="149">
        <f>SUM(E130:P130)</f>
        <v>447</v>
      </c>
    </row>
    <row r="131" spans="1:19" ht="17.25" customHeight="1">
      <c r="A131" s="69">
        <f>A130+1</f>
        <v>78</v>
      </c>
      <c r="B131" s="65" t="s">
        <v>76</v>
      </c>
      <c r="C131" s="65"/>
      <c r="D131" s="25">
        <f>SUM(E131:P131)</f>
        <v>447</v>
      </c>
      <c r="E131" s="25">
        <f>E130-E129</f>
        <v>25</v>
      </c>
      <c r="F131" s="25">
        <f t="shared" ref="F131:P131" si="36">F130-F129</f>
        <v>17</v>
      </c>
      <c r="G131" s="25">
        <f t="shared" si="36"/>
        <v>135</v>
      </c>
      <c r="H131" s="25">
        <f t="shared" si="36"/>
        <v>32</v>
      </c>
      <c r="I131" s="25">
        <f t="shared" si="36"/>
        <v>37</v>
      </c>
      <c r="J131" s="25">
        <f t="shared" si="36"/>
        <v>48</v>
      </c>
      <c r="K131" s="25">
        <f t="shared" si="36"/>
        <v>74</v>
      </c>
      <c r="L131" s="25">
        <f t="shared" si="36"/>
        <v>79</v>
      </c>
      <c r="M131" s="25">
        <f t="shared" si="36"/>
        <v>0</v>
      </c>
      <c r="N131" s="25">
        <f t="shared" si="36"/>
        <v>0</v>
      </c>
      <c r="O131" s="25">
        <f t="shared" si="36"/>
        <v>0</v>
      </c>
      <c r="P131" s="25">
        <f t="shared" si="36"/>
        <v>0</v>
      </c>
      <c r="Q131" s="147"/>
      <c r="R131" s="148">
        <f>SUM(E131:P131)</f>
        <v>447</v>
      </c>
    </row>
    <row r="132" spans="1:19" ht="17.25" customHeight="1">
      <c r="A132" s="69"/>
      <c r="B132" s="65"/>
      <c r="C132" s="65"/>
      <c r="D132" s="25"/>
      <c r="E132" s="25"/>
      <c r="F132" s="25"/>
      <c r="G132" s="25"/>
      <c r="H132" s="25"/>
      <c r="I132" s="25"/>
      <c r="J132" s="25"/>
      <c r="K132" s="25"/>
      <c r="L132" s="25"/>
      <c r="M132" s="25"/>
      <c r="N132" s="25"/>
      <c r="O132" s="25"/>
      <c r="P132" s="25"/>
      <c r="Q132" s="147"/>
      <c r="R132" s="148"/>
    </row>
    <row r="133" spans="1:19">
      <c r="A133" s="69">
        <f>A131+1</f>
        <v>79</v>
      </c>
      <c r="B133" s="58" t="s">
        <v>141</v>
      </c>
      <c r="C133" s="58"/>
      <c r="D133" s="41">
        <f>SUM(E133:P133)</f>
        <v>0</v>
      </c>
      <c r="E133" s="32">
        <f>_xll.Get_Balance(E$85,"PTD","USD","Total","A","","001","557160","ED","WA","DL")</f>
        <v>0</v>
      </c>
      <c r="F133" s="32">
        <f>_xll.Get_Balance(F$85,"PTD","USD","Total","A","","001","557160","ED","WA","DL")</f>
        <v>0</v>
      </c>
      <c r="G133" s="32">
        <f>_xll.Get_Balance(G$85,"PTD","USD","Total","A","","001","557160","ED","WA","DL")*0</f>
        <v>0</v>
      </c>
      <c r="H133" s="32">
        <f>_xll.Get_Balance(H$85,"PTD","USD","Total","A","","001","557160","ED","WA","DL")</f>
        <v>0</v>
      </c>
      <c r="I133" s="32">
        <f>_xll.Get_Balance(I$85,"PTD","USD","Total","A","","001","557160","ED","WA","DL")</f>
        <v>0</v>
      </c>
      <c r="J133" s="32">
        <f>_xll.Get_Balance(J$85,"PTD","USD","Total","A","","001","557160","ED","WA","DL")*0</f>
        <v>0</v>
      </c>
      <c r="K133" s="32">
        <f>_xll.Get_Balance(K$85,"PTD","USD","Total","A","","001","557160","ED","WA","DL")</f>
        <v>0</v>
      </c>
      <c r="L133" s="32">
        <f>_xll.Get_Balance(L$85,"PTD","USD","Total","A","","001","557160","ED","WA","DL")</f>
        <v>0</v>
      </c>
      <c r="M133" s="32">
        <f>_xll.Get_Balance(M$85,"PTD","USD","Total","A","","001","557160","ED","WA","DL")</f>
        <v>0</v>
      </c>
      <c r="N133" s="32">
        <f>_xll.Get_Balance(N$85,"PTD","USD","Total","A","","001","557160","ED","WA","DL")</f>
        <v>0</v>
      </c>
      <c r="O133" s="32">
        <f>_xll.Get_Balance(O$85,"PTD","USD","Total","A","","001","557160","ED","WA","DL")</f>
        <v>0</v>
      </c>
      <c r="P133" s="32">
        <f>_xll.Get_Balance(P$85,"PTD","USD","Total","A","","001","557160","ED","WA","DL")</f>
        <v>0</v>
      </c>
      <c r="Q133" s="147"/>
      <c r="R133" s="148">
        <f>SUM(E133:P133)</f>
        <v>0</v>
      </c>
      <c r="S133" s="39" t="s">
        <v>24</v>
      </c>
    </row>
    <row r="134" spans="1:19">
      <c r="A134" s="69">
        <f>A133+1</f>
        <v>80</v>
      </c>
      <c r="B134" s="58" t="s">
        <v>142</v>
      </c>
      <c r="C134" s="58"/>
      <c r="D134" s="41">
        <f>SUM(E134:P134)</f>
        <v>0</v>
      </c>
      <c r="E134" s="32">
        <f>_xll.Get_Balance(E$85,"PTD","USD","Total","A","","001","557170","ED","WA","DL")</f>
        <v>0</v>
      </c>
      <c r="F134" s="32">
        <f>_xll.Get_Balance(F$85,"PTD","USD","Total","A","","001","557170","ED","WA","DL")</f>
        <v>0</v>
      </c>
      <c r="G134" s="32">
        <f>_xll.Get_Balance(G$85,"PTD","USD","Total","A","","001","557170","ED","WA","DL")</f>
        <v>0</v>
      </c>
      <c r="H134" s="32">
        <f>_xll.Get_Balance(H$85,"PTD","USD","Total","A","","001","557170","ED","WA","DL")</f>
        <v>0</v>
      </c>
      <c r="I134" s="32">
        <f>_xll.Get_Balance(I$85,"PTD","USD","Total","A","","001","557170","ED","WA","DL")</f>
        <v>0</v>
      </c>
      <c r="J134" s="32">
        <f>_xll.Get_Balance(J$85,"PTD","USD","Total","A","","001","557170","ED","WA","DL")</f>
        <v>0</v>
      </c>
      <c r="K134" s="32">
        <f>_xll.Get_Balance(K$85,"PTD","USD","Total","A","","001","557170","ED","WA","DL")</f>
        <v>0</v>
      </c>
      <c r="L134" s="32">
        <f>_xll.Get_Balance(L$85,"PTD","USD","Total","A","","001","557170","ED","WA","DL")</f>
        <v>0</v>
      </c>
      <c r="M134" s="32">
        <f>_xll.Get_Balance(M$85,"PTD","USD","Total","A","","001","557170","ED","WA","DL")</f>
        <v>0</v>
      </c>
      <c r="N134" s="32">
        <f>_xll.Get_Balance(N$85,"PTD","USD","Total","A","","001","557170","ED","WA","DL")</f>
        <v>0</v>
      </c>
      <c r="O134" s="32">
        <f>_xll.Get_Balance(O$85,"PTD","USD","Total","A","","001","557170","ED","WA","DL")</f>
        <v>0</v>
      </c>
      <c r="P134" s="32">
        <f>_xll.Get_Balance(P$85,"PTD","USD","Total","A","","001","557170","ED","WA","DL")</f>
        <v>0</v>
      </c>
      <c r="Q134" s="147"/>
      <c r="R134" s="148"/>
      <c r="S134" s="39"/>
    </row>
    <row r="135" spans="1:19">
      <c r="A135" s="70">
        <f>A134+1</f>
        <v>81</v>
      </c>
      <c r="B135" s="60" t="s">
        <v>143</v>
      </c>
      <c r="C135" s="64"/>
      <c r="D135" s="49">
        <f>SUM(E135:P135)</f>
        <v>0</v>
      </c>
      <c r="E135" s="24">
        <f>_xll.Get_Balance(E$85,"PTD","USD","Total","A","","001","557171","ED","WA","DL")</f>
        <v>0</v>
      </c>
      <c r="F135" s="24">
        <f>_xll.Get_Balance(F$85,"PTD","USD","Total","A","","001","557171","ED","WA","DL")</f>
        <v>0</v>
      </c>
      <c r="G135" s="24">
        <f>_xll.Get_Balance(G$85,"PTD","USD","Total","A","","001","557171","ED","WA","DL")</f>
        <v>0</v>
      </c>
      <c r="H135" s="24">
        <f>_xll.Get_Balance(H$85,"PTD","USD","Total","A","","001","557171","ED","WA","DL")</f>
        <v>0</v>
      </c>
      <c r="I135" s="24">
        <f>_xll.Get_Balance(I$85,"PTD","USD","Total","A","","001","557171","ED","WA","DL")</f>
        <v>0</v>
      </c>
      <c r="J135" s="24">
        <f>_xll.Get_Balance(J$85,"PTD","USD","Total","A","","001","557171","ED","WA","DL")</f>
        <v>0</v>
      </c>
      <c r="K135" s="24">
        <f>_xll.Get_Balance(K$85,"PTD","USD","Total","A","","001","557171","ED","WA","DL")</f>
        <v>0</v>
      </c>
      <c r="L135" s="24">
        <f>_xll.Get_Balance(L$85,"PTD","USD","Total","A","","001","557171","ED","WA","DL")</f>
        <v>0</v>
      </c>
      <c r="M135" s="24">
        <f>_xll.Get_Balance(M$85,"PTD","USD","Total","A","","001","557171","ED","WA","DL")</f>
        <v>0</v>
      </c>
      <c r="N135" s="24">
        <f>_xll.Get_Balance(N$85,"PTD","USD","Total","A","","001","557171","ED","WA","DL")</f>
        <v>0</v>
      </c>
      <c r="O135" s="24">
        <f>_xll.Get_Balance(O$85,"PTD","USD","Total","A","","001","557171","ED","WA","DL")</f>
        <v>0</v>
      </c>
      <c r="P135" s="24">
        <f>_xll.Get_Balance(P$85,"PTD","USD","Total","A","","001","557171","ED","WA","DL")</f>
        <v>0</v>
      </c>
      <c r="Q135" s="147"/>
      <c r="R135" s="149">
        <f>SUM(E135:P135)</f>
        <v>0</v>
      </c>
    </row>
    <row r="136" spans="1:19" ht="17.25" customHeight="1">
      <c r="A136" s="69">
        <f>A135+1</f>
        <v>82</v>
      </c>
      <c r="B136" s="65" t="s">
        <v>140</v>
      </c>
      <c r="C136" s="65"/>
      <c r="D136" s="25">
        <f>E136+F136+G136+H136+I136+J136+K136</f>
        <v>0</v>
      </c>
      <c r="E136" s="25">
        <f>E133+E134+E135</f>
        <v>0</v>
      </c>
      <c r="F136" s="25">
        <f t="shared" ref="F136:P136" si="37">F133+F134+F135</f>
        <v>0</v>
      </c>
      <c r="G136" s="25">
        <f t="shared" si="37"/>
        <v>0</v>
      </c>
      <c r="H136" s="25">
        <f t="shared" si="37"/>
        <v>0</v>
      </c>
      <c r="I136" s="25">
        <f t="shared" si="37"/>
        <v>0</v>
      </c>
      <c r="J136" s="25">
        <f t="shared" si="37"/>
        <v>0</v>
      </c>
      <c r="K136" s="25">
        <f t="shared" si="37"/>
        <v>0</v>
      </c>
      <c r="L136" s="25">
        <f t="shared" si="37"/>
        <v>0</v>
      </c>
      <c r="M136" s="25">
        <f t="shared" si="37"/>
        <v>0</v>
      </c>
      <c r="N136" s="25">
        <f t="shared" si="37"/>
        <v>0</v>
      </c>
      <c r="O136" s="25">
        <f t="shared" si="37"/>
        <v>0</v>
      </c>
      <c r="P136" s="25">
        <f t="shared" si="37"/>
        <v>0</v>
      </c>
      <c r="Q136" s="25">
        <f>Q133+Q134+Q135</f>
        <v>0</v>
      </c>
      <c r="R136" s="25">
        <f>R133+R134+R135</f>
        <v>0</v>
      </c>
    </row>
    <row r="137" spans="1:19" ht="7.5" customHeight="1">
      <c r="A137" s="69"/>
      <c r="B137" s="66"/>
      <c r="C137" s="66"/>
      <c r="D137" s="163"/>
      <c r="E137" s="41"/>
      <c r="F137" s="32"/>
      <c r="G137" s="32"/>
      <c r="H137" s="32"/>
      <c r="I137" s="32"/>
      <c r="J137" s="32"/>
      <c r="K137" s="32"/>
      <c r="L137" s="32"/>
      <c r="M137" s="32"/>
      <c r="N137" s="32"/>
      <c r="O137" s="32"/>
      <c r="P137" s="32"/>
      <c r="Q137" s="147"/>
      <c r="R137" s="148"/>
    </row>
    <row r="138" spans="1:19" ht="23.25" customHeight="1">
      <c r="A138" s="122">
        <f>A136+1</f>
        <v>83</v>
      </c>
      <c r="B138" s="54" t="s">
        <v>61</v>
      </c>
      <c r="C138" s="54"/>
      <c r="D138" s="34">
        <f>SUM(E138:P138)</f>
        <v>-2379929</v>
      </c>
      <c r="E138" s="16">
        <f t="shared" ref="E138:P138" si="38">IF(E23=0," ",E122+E126+E131)</f>
        <v>738821</v>
      </c>
      <c r="F138" s="16">
        <f t="shared" si="38"/>
        <v>-2484774</v>
      </c>
      <c r="G138" s="16">
        <f t="shared" si="38"/>
        <v>2619748</v>
      </c>
      <c r="H138" s="16">
        <f t="shared" si="38"/>
        <v>-439038</v>
      </c>
      <c r="I138" s="16">
        <f t="shared" si="38"/>
        <v>-1100871</v>
      </c>
      <c r="J138" s="16">
        <f t="shared" si="38"/>
        <v>-1173869</v>
      </c>
      <c r="K138" s="16">
        <f t="shared" si="38"/>
        <v>-580578</v>
      </c>
      <c r="L138" s="16">
        <f t="shared" si="38"/>
        <v>40632</v>
      </c>
      <c r="M138" s="16" t="str">
        <f t="shared" si="38"/>
        <v xml:space="preserve"> </v>
      </c>
      <c r="N138" s="16" t="str">
        <f t="shared" si="38"/>
        <v xml:space="preserve"> </v>
      </c>
      <c r="O138" s="16" t="str">
        <f t="shared" si="38"/>
        <v xml:space="preserve"> </v>
      </c>
      <c r="P138" s="16" t="str">
        <f t="shared" si="38"/>
        <v xml:space="preserve"> </v>
      </c>
      <c r="Q138" s="147"/>
      <c r="R138" s="148">
        <f>SUM(F138:Q138)</f>
        <v>-3118750</v>
      </c>
    </row>
    <row r="139" spans="1:19" ht="9.75" customHeight="1">
      <c r="B139" s="3"/>
      <c r="C139" s="3"/>
      <c r="E139" s="21"/>
      <c r="F139" s="21"/>
      <c r="G139" s="21"/>
      <c r="H139" s="21"/>
      <c r="I139" s="21"/>
      <c r="J139" s="21"/>
      <c r="K139" s="21"/>
      <c r="L139" s="21"/>
      <c r="M139" s="21"/>
      <c r="N139" s="21"/>
      <c r="O139" s="21"/>
      <c r="P139" s="21"/>
      <c r="Q139" s="147"/>
      <c r="R139" s="148"/>
    </row>
    <row r="140" spans="1:19" s="26" customFormat="1" ht="25.5" customHeight="1" thickBot="1">
      <c r="A140" s="164">
        <f>A138+1</f>
        <v>84</v>
      </c>
      <c r="B140" s="67" t="s">
        <v>10</v>
      </c>
      <c r="C140" s="67"/>
      <c r="D140" s="165">
        <f>SUM(E140:P140)</f>
        <v>97122569</v>
      </c>
      <c r="E140" s="38">
        <f t="shared" ref="E140:P140" si="39">IF(E23=0," ",E83+E95+E101+E108+E138+E136)</f>
        <v>15582997</v>
      </c>
      <c r="F140" s="38">
        <f t="shared" si="39"/>
        <v>20044407</v>
      </c>
      <c r="G140" s="38">
        <f t="shared" si="39"/>
        <v>19766986</v>
      </c>
      <c r="H140" s="38">
        <f t="shared" si="39"/>
        <v>4847212</v>
      </c>
      <c r="I140" s="38">
        <f t="shared" si="39"/>
        <v>2192437</v>
      </c>
      <c r="J140" s="38">
        <f t="shared" si="39"/>
        <v>5371334</v>
      </c>
      <c r="K140" s="38">
        <f t="shared" si="39"/>
        <v>10376907</v>
      </c>
      <c r="L140" s="38">
        <f t="shared" si="39"/>
        <v>18940289</v>
      </c>
      <c r="M140" s="38" t="str">
        <f t="shared" si="39"/>
        <v xml:space="preserve"> </v>
      </c>
      <c r="N140" s="38" t="str">
        <f t="shared" si="39"/>
        <v xml:space="preserve"> </v>
      </c>
      <c r="O140" s="38" t="str">
        <f t="shared" si="39"/>
        <v xml:space="preserve"> </v>
      </c>
      <c r="P140" s="38" t="str">
        <f t="shared" si="39"/>
        <v xml:space="preserve"> </v>
      </c>
      <c r="Q140" s="150"/>
      <c r="R140" s="166"/>
    </row>
    <row r="141" spans="1:19" ht="13.5" thickTop="1">
      <c r="E141" s="126"/>
      <c r="F141" s="126"/>
      <c r="G141" s="126"/>
      <c r="H141" s="126"/>
      <c r="I141" s="126"/>
      <c r="J141" s="126"/>
      <c r="K141" s="126"/>
      <c r="L141" s="126"/>
      <c r="M141" s="126"/>
      <c r="N141" s="126"/>
      <c r="O141" s="126"/>
      <c r="P141" s="126"/>
      <c r="Q141" s="133"/>
    </row>
    <row r="142" spans="1:19">
      <c r="Q142" s="133"/>
    </row>
    <row r="143" spans="1:19">
      <c r="E143" s="126"/>
      <c r="F143" s="126"/>
      <c r="G143" s="126"/>
      <c r="H143" s="126"/>
      <c r="I143" s="126"/>
      <c r="J143" s="7"/>
      <c r="K143" s="126"/>
      <c r="L143" s="126"/>
      <c r="M143" s="126"/>
      <c r="N143" s="126"/>
      <c r="O143" s="126"/>
      <c r="P143" s="126"/>
      <c r="Q143" s="133"/>
    </row>
    <row r="144" spans="1:19">
      <c r="E144" s="126"/>
      <c r="F144" s="126"/>
      <c r="G144" s="126"/>
      <c r="H144" s="126"/>
      <c r="I144" s="126"/>
      <c r="J144" s="7"/>
      <c r="K144" s="126"/>
      <c r="L144" s="126"/>
      <c r="M144" s="126"/>
      <c r="N144" s="126"/>
      <c r="O144" s="126"/>
      <c r="P144" s="126"/>
      <c r="Q144" s="133"/>
    </row>
    <row r="145" spans="5:17">
      <c r="E145" s="126"/>
      <c r="F145" s="126"/>
      <c r="G145" s="126"/>
      <c r="H145" s="126"/>
      <c r="I145" s="126"/>
      <c r="J145" s="7"/>
      <c r="K145" s="126"/>
      <c r="L145" s="126"/>
      <c r="M145" s="126"/>
      <c r="N145" s="126"/>
      <c r="O145" s="126"/>
      <c r="P145" s="126"/>
      <c r="Q145" s="133"/>
    </row>
    <row r="146" spans="5:17">
      <c r="E146" s="126"/>
      <c r="F146" s="126"/>
      <c r="G146" s="126"/>
      <c r="H146" s="126"/>
      <c r="I146" s="126"/>
      <c r="J146" s="7"/>
      <c r="K146" s="126"/>
      <c r="L146" s="126"/>
      <c r="M146" s="126"/>
      <c r="N146" s="126"/>
      <c r="O146" s="126"/>
      <c r="P146" s="126"/>
      <c r="Q146" s="133"/>
    </row>
    <row r="147" spans="5:17">
      <c r="E147" s="126"/>
      <c r="F147" s="126"/>
      <c r="G147" s="126"/>
      <c r="H147" s="126"/>
      <c r="I147" s="126"/>
      <c r="J147" s="7"/>
      <c r="K147" s="126"/>
      <c r="L147" s="126"/>
      <c r="M147" s="126"/>
      <c r="N147" s="126"/>
      <c r="O147" s="126"/>
      <c r="P147" s="126"/>
      <c r="Q147" s="133"/>
    </row>
    <row r="148" spans="5:17">
      <c r="E148" s="126"/>
      <c r="F148" s="126"/>
      <c r="G148" s="126"/>
      <c r="H148" s="126"/>
      <c r="I148" s="126"/>
      <c r="J148" s="7"/>
      <c r="K148" s="126"/>
      <c r="L148" s="126"/>
      <c r="M148" s="126"/>
      <c r="N148" s="126"/>
      <c r="O148" s="126"/>
      <c r="P148" s="126"/>
      <c r="Q148" s="133"/>
    </row>
    <row r="149" spans="5:17">
      <c r="E149" s="126"/>
      <c r="F149" s="126"/>
      <c r="G149" s="126"/>
      <c r="H149" s="126"/>
      <c r="I149" s="126"/>
      <c r="J149" s="7"/>
      <c r="K149" s="126"/>
      <c r="L149" s="126"/>
      <c r="M149" s="126"/>
      <c r="N149" s="126"/>
      <c r="O149" s="126"/>
      <c r="P149" s="126"/>
      <c r="Q149" s="133"/>
    </row>
    <row r="150" spans="5:17">
      <c r="E150" s="126"/>
      <c r="F150" s="126"/>
      <c r="G150" s="126"/>
      <c r="H150" s="126"/>
      <c r="I150" s="126"/>
      <c r="J150" s="7"/>
      <c r="K150" s="126"/>
      <c r="L150" s="126"/>
      <c r="M150" s="126"/>
      <c r="N150" s="126"/>
      <c r="O150" s="126"/>
      <c r="P150" s="126"/>
      <c r="Q150" s="133"/>
    </row>
    <row r="151" spans="5:17">
      <c r="E151" s="126"/>
      <c r="F151" s="126"/>
      <c r="G151" s="126"/>
      <c r="H151" s="126"/>
      <c r="I151" s="126"/>
      <c r="J151" s="7"/>
      <c r="K151" s="126"/>
      <c r="L151" s="126"/>
      <c r="M151" s="126"/>
      <c r="N151" s="126"/>
      <c r="O151" s="126"/>
      <c r="P151" s="126"/>
      <c r="Q151" s="133"/>
    </row>
    <row r="152" spans="5:17">
      <c r="E152" s="126"/>
      <c r="F152" s="126"/>
      <c r="G152" s="126"/>
      <c r="H152" s="126"/>
      <c r="I152" s="126"/>
      <c r="J152" s="7"/>
      <c r="K152" s="126"/>
      <c r="L152" s="126"/>
      <c r="M152" s="126"/>
      <c r="N152" s="126"/>
      <c r="O152" s="126"/>
      <c r="P152" s="126"/>
      <c r="Q152" s="133"/>
    </row>
    <row r="153" spans="5:17">
      <c r="E153" s="126"/>
      <c r="F153" s="126"/>
      <c r="G153" s="126"/>
      <c r="H153" s="126"/>
      <c r="I153" s="126"/>
      <c r="J153" s="126"/>
      <c r="K153" s="126"/>
      <c r="L153" s="126"/>
      <c r="M153" s="126"/>
      <c r="N153" s="126"/>
      <c r="O153" s="126"/>
      <c r="P153" s="126"/>
      <c r="Q153" s="133"/>
    </row>
    <row r="154" spans="5:17">
      <c r="E154" s="126"/>
      <c r="F154" s="126"/>
      <c r="G154" s="126"/>
      <c r="H154" s="126"/>
      <c r="I154" s="126"/>
      <c r="J154" s="126"/>
      <c r="K154" s="126"/>
      <c r="L154" s="126"/>
      <c r="M154" s="126"/>
      <c r="N154" s="126"/>
      <c r="O154" s="126"/>
      <c r="P154" s="126"/>
      <c r="Q154" s="133"/>
    </row>
    <row r="155" spans="5:17">
      <c r="E155" s="126"/>
      <c r="F155" s="126"/>
      <c r="G155" s="126"/>
      <c r="H155" s="126"/>
      <c r="I155" s="126"/>
      <c r="J155" s="126"/>
      <c r="K155" s="126"/>
      <c r="L155" s="126"/>
      <c r="M155" s="126"/>
      <c r="N155" s="126"/>
      <c r="O155" s="126"/>
      <c r="P155" s="126"/>
      <c r="Q155" s="133"/>
    </row>
    <row r="156" spans="5:17">
      <c r="E156" s="126"/>
      <c r="F156" s="126"/>
      <c r="G156" s="126"/>
      <c r="H156" s="126"/>
      <c r="I156" s="126"/>
      <c r="J156" s="126"/>
      <c r="K156" s="126"/>
      <c r="L156" s="126"/>
      <c r="M156" s="126"/>
      <c r="N156" s="126"/>
      <c r="O156" s="126"/>
      <c r="P156" s="126"/>
      <c r="Q156" s="133"/>
    </row>
    <row r="157" spans="5:17">
      <c r="E157" s="126"/>
      <c r="F157" s="126"/>
      <c r="G157" s="126"/>
      <c r="H157" s="126"/>
      <c r="I157" s="126"/>
      <c r="J157" s="126"/>
      <c r="K157" s="126"/>
      <c r="L157" s="126"/>
      <c r="M157" s="126"/>
      <c r="N157" s="126"/>
      <c r="O157" s="126"/>
      <c r="P157" s="126"/>
      <c r="Q157" s="133"/>
    </row>
    <row r="158" spans="5:17">
      <c r="E158" s="126"/>
      <c r="F158" s="126"/>
      <c r="G158" s="126"/>
      <c r="H158" s="126"/>
      <c r="I158" s="126"/>
      <c r="J158" s="126"/>
      <c r="K158" s="126"/>
      <c r="L158" s="126"/>
      <c r="M158" s="126"/>
      <c r="N158" s="126"/>
      <c r="O158" s="126"/>
      <c r="P158" s="126"/>
      <c r="Q158" s="133"/>
    </row>
    <row r="159" spans="5:17">
      <c r="E159" s="126"/>
      <c r="F159" s="126"/>
      <c r="G159" s="126"/>
      <c r="H159" s="126"/>
      <c r="I159" s="126"/>
      <c r="J159" s="126"/>
      <c r="K159" s="126"/>
      <c r="L159" s="126"/>
      <c r="M159" s="126"/>
      <c r="N159" s="126"/>
      <c r="O159" s="126"/>
      <c r="P159" s="126"/>
      <c r="Q159" s="133"/>
    </row>
    <row r="160" spans="5:17">
      <c r="E160" s="126"/>
      <c r="F160" s="126"/>
      <c r="G160" s="126"/>
      <c r="H160" s="126"/>
      <c r="I160" s="126"/>
      <c r="J160" s="126"/>
      <c r="K160" s="126"/>
      <c r="L160" s="126"/>
      <c r="M160" s="126"/>
      <c r="N160" s="126"/>
      <c r="O160" s="126"/>
      <c r="P160" s="126"/>
      <c r="Q160" s="133"/>
    </row>
    <row r="161" spans="5:17">
      <c r="E161" s="126"/>
      <c r="F161" s="126"/>
      <c r="G161" s="126"/>
      <c r="H161" s="126"/>
      <c r="I161" s="126"/>
      <c r="J161" s="126"/>
      <c r="K161" s="126"/>
      <c r="L161" s="126"/>
      <c r="M161" s="126"/>
      <c r="N161" s="126"/>
      <c r="O161" s="126"/>
      <c r="P161" s="126"/>
      <c r="Q161" s="133"/>
    </row>
    <row r="162" spans="5:17">
      <c r="E162" s="126"/>
      <c r="F162" s="126"/>
      <c r="G162" s="126"/>
      <c r="H162" s="126"/>
      <c r="I162" s="126"/>
      <c r="J162" s="126"/>
      <c r="K162" s="126"/>
      <c r="L162" s="126"/>
      <c r="M162" s="126"/>
      <c r="N162" s="126"/>
      <c r="O162" s="126"/>
      <c r="P162" s="126"/>
      <c r="Q162" s="133"/>
    </row>
    <row r="163" spans="5:17">
      <c r="E163" s="126"/>
      <c r="F163" s="126"/>
      <c r="G163" s="126"/>
      <c r="H163" s="126"/>
      <c r="I163" s="126"/>
      <c r="J163" s="126"/>
      <c r="K163" s="126"/>
      <c r="L163" s="126"/>
      <c r="M163" s="126"/>
      <c r="N163" s="126"/>
      <c r="O163" s="126"/>
      <c r="P163" s="126"/>
      <c r="Q163" s="133"/>
    </row>
    <row r="164" spans="5:17">
      <c r="E164" s="126"/>
      <c r="F164" s="126"/>
      <c r="G164" s="126"/>
      <c r="H164" s="126"/>
      <c r="I164" s="126"/>
      <c r="J164" s="126"/>
      <c r="K164" s="126"/>
      <c r="L164" s="126"/>
      <c r="M164" s="126"/>
      <c r="N164" s="126"/>
      <c r="O164" s="126"/>
      <c r="P164" s="126"/>
      <c r="Q164" s="133"/>
    </row>
    <row r="165" spans="5:17">
      <c r="E165" s="126"/>
      <c r="F165" s="126"/>
      <c r="G165" s="126"/>
      <c r="H165" s="126"/>
      <c r="I165" s="126"/>
      <c r="J165" s="126"/>
      <c r="K165" s="126"/>
      <c r="L165" s="126"/>
      <c r="M165" s="126"/>
      <c r="N165" s="126"/>
      <c r="O165" s="126"/>
      <c r="P165" s="126"/>
      <c r="Q165" s="133"/>
    </row>
    <row r="166" spans="5:17">
      <c r="E166" s="126"/>
      <c r="F166" s="126"/>
      <c r="G166" s="126"/>
      <c r="H166" s="126"/>
      <c r="I166" s="126"/>
      <c r="J166" s="126"/>
      <c r="K166" s="126"/>
      <c r="L166" s="126"/>
      <c r="M166" s="126"/>
      <c r="N166" s="126"/>
      <c r="O166" s="126"/>
      <c r="P166" s="126"/>
      <c r="Q166" s="133"/>
    </row>
    <row r="167" spans="5:17">
      <c r="E167" s="126"/>
      <c r="F167" s="126"/>
      <c r="G167" s="126"/>
      <c r="H167" s="126"/>
      <c r="I167" s="126"/>
      <c r="J167" s="126"/>
      <c r="K167" s="126"/>
      <c r="L167" s="126"/>
      <c r="M167" s="126"/>
      <c r="N167" s="126"/>
      <c r="O167" s="126"/>
      <c r="P167" s="126"/>
      <c r="Q167" s="133"/>
    </row>
    <row r="168" spans="5:17">
      <c r="E168" s="126"/>
      <c r="F168" s="126"/>
      <c r="G168" s="126"/>
      <c r="H168" s="126"/>
      <c r="I168" s="126"/>
      <c r="J168" s="126"/>
      <c r="K168" s="126"/>
      <c r="L168" s="126"/>
      <c r="M168" s="126"/>
      <c r="N168" s="126"/>
      <c r="O168" s="126"/>
      <c r="P168" s="126"/>
      <c r="Q168" s="133"/>
    </row>
    <row r="169" spans="5:17">
      <c r="E169" s="126"/>
      <c r="F169" s="126"/>
      <c r="G169" s="126"/>
      <c r="H169" s="126"/>
      <c r="I169" s="126"/>
      <c r="J169" s="126"/>
      <c r="K169" s="126"/>
      <c r="L169" s="126"/>
      <c r="M169" s="126"/>
      <c r="N169" s="126"/>
      <c r="O169" s="126"/>
      <c r="P169" s="126"/>
      <c r="Q169" s="133"/>
    </row>
    <row r="170" spans="5:17">
      <c r="E170" s="126"/>
      <c r="F170" s="126"/>
      <c r="G170" s="126"/>
      <c r="H170" s="126"/>
      <c r="I170" s="126"/>
      <c r="J170" s="126"/>
      <c r="K170" s="126"/>
      <c r="L170" s="126"/>
      <c r="M170" s="126"/>
      <c r="N170" s="126"/>
      <c r="O170" s="126"/>
      <c r="P170" s="126"/>
      <c r="Q170" s="133"/>
    </row>
    <row r="171" spans="5:17">
      <c r="E171" s="126"/>
      <c r="F171" s="126"/>
      <c r="G171" s="126"/>
      <c r="H171" s="126"/>
      <c r="I171" s="126"/>
      <c r="J171" s="126"/>
      <c r="K171" s="126"/>
      <c r="L171" s="126"/>
      <c r="M171" s="126"/>
      <c r="N171" s="126"/>
      <c r="O171" s="126"/>
      <c r="P171" s="126"/>
      <c r="Q171" s="133"/>
    </row>
    <row r="172" spans="5:17">
      <c r="E172" s="126"/>
      <c r="F172" s="126"/>
      <c r="G172" s="126"/>
      <c r="H172" s="126"/>
      <c r="I172" s="126"/>
      <c r="J172" s="126"/>
      <c r="K172" s="126"/>
      <c r="L172" s="126"/>
      <c r="M172" s="126"/>
      <c r="N172" s="126"/>
      <c r="O172" s="126"/>
      <c r="P172" s="126"/>
      <c r="Q172" s="133"/>
    </row>
    <row r="173" spans="5:17">
      <c r="E173" s="126"/>
      <c r="F173" s="126"/>
      <c r="G173" s="126"/>
      <c r="H173" s="126"/>
      <c r="I173" s="126"/>
      <c r="J173" s="126"/>
      <c r="K173" s="126"/>
      <c r="L173" s="126"/>
      <c r="M173" s="126"/>
      <c r="N173" s="126"/>
      <c r="O173" s="126"/>
      <c r="P173" s="126"/>
      <c r="Q173" s="133"/>
    </row>
    <row r="174" spans="5:17">
      <c r="E174" s="126"/>
      <c r="F174" s="126"/>
      <c r="G174" s="126"/>
      <c r="H174" s="126"/>
      <c r="I174" s="126"/>
      <c r="J174" s="126"/>
      <c r="K174" s="126"/>
      <c r="L174" s="126"/>
      <c r="M174" s="126"/>
      <c r="N174" s="126"/>
      <c r="O174" s="126"/>
      <c r="P174" s="126"/>
      <c r="Q174" s="133"/>
    </row>
    <row r="175" spans="5:17">
      <c r="E175" s="126"/>
      <c r="F175" s="126"/>
      <c r="G175" s="126"/>
      <c r="H175" s="126"/>
      <c r="I175" s="126"/>
      <c r="J175" s="126"/>
      <c r="K175" s="126"/>
      <c r="L175" s="126"/>
      <c r="M175" s="126"/>
      <c r="N175" s="126"/>
      <c r="O175" s="126"/>
      <c r="P175" s="126"/>
      <c r="Q175" s="133"/>
    </row>
    <row r="176" spans="5:17">
      <c r="E176" s="126"/>
      <c r="F176" s="126"/>
      <c r="G176" s="126"/>
      <c r="H176" s="126"/>
      <c r="I176" s="126"/>
      <c r="J176" s="126"/>
      <c r="K176" s="126"/>
      <c r="L176" s="126"/>
      <c r="M176" s="126"/>
      <c r="N176" s="126"/>
      <c r="O176" s="126"/>
      <c r="P176" s="126"/>
      <c r="Q176" s="133"/>
    </row>
    <row r="177" spans="5:17">
      <c r="E177" s="126"/>
      <c r="F177" s="126"/>
      <c r="G177" s="126"/>
      <c r="H177" s="126"/>
      <c r="I177" s="126"/>
      <c r="J177" s="126"/>
      <c r="K177" s="126"/>
      <c r="L177" s="126"/>
      <c r="M177" s="126"/>
      <c r="N177" s="126"/>
      <c r="O177" s="126"/>
      <c r="P177" s="126"/>
      <c r="Q177" s="133"/>
    </row>
    <row r="178" spans="5:17">
      <c r="E178" s="126"/>
      <c r="F178" s="126"/>
      <c r="G178" s="126"/>
      <c r="H178" s="126"/>
      <c r="I178" s="126"/>
      <c r="J178" s="126"/>
      <c r="K178" s="126"/>
      <c r="L178" s="126"/>
      <c r="M178" s="126"/>
      <c r="N178" s="126"/>
      <c r="O178" s="126"/>
      <c r="P178" s="126"/>
      <c r="Q178" s="133"/>
    </row>
    <row r="179" spans="5:17">
      <c r="E179" s="126"/>
      <c r="F179" s="126"/>
      <c r="G179" s="126"/>
      <c r="H179" s="126"/>
      <c r="I179" s="126"/>
      <c r="J179" s="126"/>
      <c r="K179" s="126"/>
      <c r="L179" s="126"/>
      <c r="M179" s="126"/>
      <c r="N179" s="126"/>
      <c r="O179" s="126"/>
      <c r="P179" s="126"/>
      <c r="Q179" s="133"/>
    </row>
    <row r="180" spans="5:17">
      <c r="E180" s="126"/>
      <c r="F180" s="126"/>
      <c r="G180" s="126"/>
      <c r="H180" s="126"/>
      <c r="I180" s="126"/>
      <c r="J180" s="126"/>
      <c r="K180" s="126"/>
      <c r="L180" s="126"/>
      <c r="M180" s="126"/>
      <c r="N180" s="126"/>
      <c r="O180" s="126"/>
      <c r="P180" s="126"/>
      <c r="Q180" s="133"/>
    </row>
    <row r="181" spans="5:17">
      <c r="E181" s="126"/>
      <c r="F181" s="126"/>
      <c r="G181" s="126"/>
      <c r="H181" s="126"/>
      <c r="I181" s="126"/>
      <c r="J181" s="126"/>
      <c r="K181" s="126"/>
      <c r="L181" s="126"/>
      <c r="M181" s="126"/>
      <c r="N181" s="126"/>
      <c r="O181" s="126"/>
      <c r="P181" s="126"/>
      <c r="Q181" s="133"/>
    </row>
    <row r="182" spans="5:17">
      <c r="E182" s="126"/>
      <c r="F182" s="126"/>
      <c r="G182" s="126"/>
      <c r="H182" s="126"/>
      <c r="I182" s="126"/>
      <c r="J182" s="126"/>
      <c r="K182" s="126"/>
      <c r="L182" s="126"/>
      <c r="M182" s="126"/>
      <c r="N182" s="126"/>
      <c r="O182" s="126"/>
      <c r="P182" s="126"/>
      <c r="Q182" s="133"/>
    </row>
    <row r="183" spans="5:17">
      <c r="E183" s="126"/>
      <c r="F183" s="126"/>
      <c r="G183" s="126"/>
      <c r="H183" s="126"/>
      <c r="I183" s="126"/>
      <c r="J183" s="126"/>
      <c r="K183" s="126"/>
      <c r="L183" s="126"/>
      <c r="M183" s="126"/>
      <c r="N183" s="126"/>
      <c r="O183" s="126"/>
      <c r="P183" s="126"/>
      <c r="Q183" s="133"/>
    </row>
    <row r="184" spans="5:17">
      <c r="E184" s="126"/>
      <c r="F184" s="126"/>
      <c r="G184" s="126"/>
      <c r="H184" s="126"/>
      <c r="I184" s="126"/>
      <c r="J184" s="126"/>
      <c r="K184" s="126"/>
      <c r="L184" s="126"/>
      <c r="M184" s="126"/>
      <c r="N184" s="126"/>
      <c r="O184" s="126"/>
      <c r="P184" s="126"/>
      <c r="Q184" s="133"/>
    </row>
    <row r="185" spans="5:17">
      <c r="E185" s="126"/>
      <c r="F185" s="126"/>
      <c r="G185" s="126"/>
      <c r="H185" s="126"/>
      <c r="I185" s="126"/>
      <c r="J185" s="126"/>
      <c r="K185" s="126"/>
      <c r="L185" s="126"/>
      <c r="M185" s="126"/>
      <c r="N185" s="126"/>
      <c r="O185" s="126"/>
      <c r="P185" s="126"/>
      <c r="Q185" s="133"/>
    </row>
    <row r="186" spans="5:17">
      <c r="E186" s="126"/>
      <c r="F186" s="126"/>
      <c r="G186" s="126"/>
      <c r="H186" s="126"/>
      <c r="I186" s="126"/>
      <c r="J186" s="126"/>
      <c r="K186" s="126"/>
      <c r="L186" s="126"/>
      <c r="M186" s="126"/>
      <c r="N186" s="126"/>
      <c r="O186" s="126"/>
      <c r="P186" s="126"/>
      <c r="Q186" s="133"/>
    </row>
    <row r="187" spans="5:17">
      <c r="E187" s="126"/>
      <c r="F187" s="126"/>
      <c r="G187" s="126"/>
      <c r="H187" s="126"/>
      <c r="I187" s="126"/>
      <c r="J187" s="126"/>
      <c r="K187" s="126"/>
      <c r="L187" s="126"/>
      <c r="M187" s="126"/>
      <c r="N187" s="126"/>
      <c r="O187" s="126"/>
      <c r="P187" s="126"/>
      <c r="Q187" s="133"/>
    </row>
    <row r="188" spans="5:17">
      <c r="E188" s="126"/>
      <c r="F188" s="126"/>
      <c r="G188" s="126"/>
      <c r="H188" s="126"/>
      <c r="I188" s="126"/>
      <c r="J188" s="126"/>
      <c r="K188" s="126"/>
      <c r="L188" s="126"/>
      <c r="M188" s="126"/>
      <c r="N188" s="126"/>
      <c r="O188" s="126"/>
      <c r="P188" s="126"/>
      <c r="Q188" s="133"/>
    </row>
    <row r="189" spans="5:17">
      <c r="E189" s="126"/>
      <c r="F189" s="126"/>
      <c r="G189" s="126"/>
      <c r="H189" s="126"/>
      <c r="I189" s="126"/>
      <c r="J189" s="126"/>
      <c r="K189" s="126"/>
      <c r="L189" s="126"/>
      <c r="M189" s="126"/>
      <c r="N189" s="126"/>
      <c r="O189" s="126"/>
      <c r="P189" s="126"/>
      <c r="Q189" s="133"/>
    </row>
    <row r="190" spans="5:17">
      <c r="E190" s="126"/>
      <c r="F190" s="126"/>
      <c r="G190" s="126"/>
      <c r="H190" s="126"/>
      <c r="I190" s="126"/>
      <c r="J190" s="126"/>
      <c r="K190" s="126"/>
      <c r="L190" s="126"/>
      <c r="M190" s="126"/>
      <c r="N190" s="126"/>
      <c r="O190" s="126"/>
      <c r="P190" s="126"/>
      <c r="Q190" s="133"/>
    </row>
    <row r="191" spans="5:17">
      <c r="E191" s="126"/>
      <c r="F191" s="126"/>
      <c r="G191" s="126"/>
      <c r="H191" s="126"/>
      <c r="I191" s="126"/>
      <c r="J191" s="126"/>
      <c r="K191" s="126"/>
      <c r="L191" s="126"/>
      <c r="M191" s="126"/>
      <c r="N191" s="126"/>
      <c r="O191" s="126"/>
      <c r="P191" s="126"/>
      <c r="Q191" s="133"/>
    </row>
    <row r="192" spans="5:17">
      <c r="E192" s="126"/>
      <c r="F192" s="126"/>
      <c r="G192" s="126"/>
      <c r="H192" s="126"/>
      <c r="I192" s="126"/>
      <c r="J192" s="126"/>
      <c r="K192" s="126"/>
      <c r="L192" s="126"/>
      <c r="M192" s="126"/>
      <c r="N192" s="126"/>
      <c r="O192" s="126"/>
      <c r="P192" s="126"/>
      <c r="Q192" s="133"/>
    </row>
    <row r="193" spans="5:17">
      <c r="E193" s="126"/>
      <c r="F193" s="126"/>
      <c r="G193" s="126"/>
      <c r="H193" s="126"/>
      <c r="I193" s="126"/>
      <c r="J193" s="126"/>
      <c r="K193" s="126"/>
      <c r="L193" s="126"/>
      <c r="M193" s="126"/>
      <c r="N193" s="126"/>
      <c r="O193" s="126"/>
      <c r="P193" s="126"/>
      <c r="Q193" s="133"/>
    </row>
    <row r="194" spans="5:17">
      <c r="E194" s="126"/>
      <c r="F194" s="126"/>
      <c r="G194" s="126"/>
      <c r="H194" s="126"/>
      <c r="I194" s="126"/>
      <c r="J194" s="126"/>
      <c r="K194" s="126"/>
      <c r="L194" s="126"/>
      <c r="M194" s="126"/>
      <c r="N194" s="126"/>
      <c r="O194" s="126"/>
      <c r="P194" s="126"/>
      <c r="Q194" s="133"/>
    </row>
    <row r="195" spans="5:17">
      <c r="E195" s="126"/>
      <c r="F195" s="126"/>
      <c r="G195" s="126"/>
      <c r="H195" s="126"/>
      <c r="I195" s="126"/>
      <c r="J195" s="126"/>
      <c r="K195" s="126"/>
      <c r="L195" s="126"/>
      <c r="M195" s="126"/>
      <c r="N195" s="126"/>
      <c r="O195" s="126"/>
      <c r="P195" s="126"/>
      <c r="Q195" s="133"/>
    </row>
    <row r="196" spans="5:17">
      <c r="E196" s="126"/>
      <c r="F196" s="126"/>
      <c r="G196" s="126"/>
      <c r="H196" s="126"/>
      <c r="I196" s="126"/>
      <c r="J196" s="126"/>
      <c r="K196" s="126"/>
      <c r="L196" s="126"/>
      <c r="M196" s="126"/>
      <c r="N196" s="126"/>
      <c r="O196" s="126"/>
      <c r="P196" s="126"/>
      <c r="Q196" s="133"/>
    </row>
    <row r="197" spans="5:17">
      <c r="E197" s="126"/>
      <c r="F197" s="126"/>
      <c r="G197" s="126"/>
      <c r="H197" s="126"/>
      <c r="I197" s="126"/>
      <c r="J197" s="126"/>
      <c r="K197" s="126"/>
      <c r="L197" s="126"/>
      <c r="M197" s="126"/>
      <c r="N197" s="126"/>
      <c r="O197" s="126"/>
      <c r="P197" s="126"/>
      <c r="Q197" s="133"/>
    </row>
    <row r="198" spans="5:17">
      <c r="E198" s="126"/>
      <c r="F198" s="126"/>
      <c r="G198" s="126"/>
      <c r="H198" s="126"/>
      <c r="I198" s="126"/>
      <c r="J198" s="126"/>
      <c r="K198" s="126"/>
      <c r="L198" s="126"/>
      <c r="M198" s="126"/>
      <c r="N198" s="126"/>
      <c r="O198" s="126"/>
      <c r="P198" s="126"/>
      <c r="Q198" s="133"/>
    </row>
    <row r="199" spans="5:17">
      <c r="E199" s="126"/>
      <c r="F199" s="126"/>
      <c r="G199" s="126"/>
      <c r="H199" s="126"/>
      <c r="I199" s="126"/>
      <c r="J199" s="126"/>
      <c r="K199" s="126"/>
      <c r="L199" s="126"/>
      <c r="M199" s="126"/>
      <c r="N199" s="126"/>
      <c r="O199" s="126"/>
      <c r="P199" s="126"/>
      <c r="Q199" s="133"/>
    </row>
    <row r="200" spans="5:17">
      <c r="E200" s="126"/>
      <c r="F200" s="126"/>
      <c r="G200" s="126"/>
      <c r="H200" s="126"/>
      <c r="I200" s="126"/>
      <c r="J200" s="126"/>
      <c r="K200" s="126"/>
      <c r="L200" s="126"/>
      <c r="M200" s="126"/>
      <c r="N200" s="126"/>
      <c r="O200" s="126"/>
      <c r="P200" s="126"/>
      <c r="Q200" s="133"/>
    </row>
    <row r="201" spans="5:17">
      <c r="E201" s="126"/>
      <c r="F201" s="126"/>
      <c r="G201" s="126"/>
      <c r="H201" s="126"/>
      <c r="I201" s="126"/>
      <c r="J201" s="126"/>
      <c r="K201" s="126"/>
      <c r="L201" s="126"/>
      <c r="M201" s="126"/>
      <c r="N201" s="126"/>
      <c r="O201" s="126"/>
      <c r="P201" s="126"/>
      <c r="Q201" s="133"/>
    </row>
    <row r="202" spans="5:17">
      <c r="E202" s="126"/>
      <c r="F202" s="126"/>
      <c r="G202" s="126"/>
      <c r="H202" s="126"/>
      <c r="I202" s="126"/>
      <c r="J202" s="126"/>
      <c r="K202" s="126"/>
      <c r="L202" s="126"/>
      <c r="M202" s="126"/>
      <c r="N202" s="126"/>
      <c r="O202" s="126"/>
      <c r="P202" s="126"/>
      <c r="Q202" s="133"/>
    </row>
    <row r="203" spans="5:17">
      <c r="E203" s="126"/>
      <c r="F203" s="126"/>
      <c r="G203" s="126"/>
      <c r="H203" s="126"/>
      <c r="I203" s="126"/>
      <c r="J203" s="126"/>
      <c r="K203" s="126"/>
      <c r="L203" s="126"/>
      <c r="M203" s="126"/>
      <c r="N203" s="126"/>
      <c r="O203" s="126"/>
      <c r="P203" s="126"/>
      <c r="Q203" s="133"/>
    </row>
    <row r="204" spans="5:17">
      <c r="E204" s="126"/>
      <c r="F204" s="126"/>
      <c r="G204" s="126"/>
      <c r="H204" s="126"/>
      <c r="I204" s="126"/>
      <c r="J204" s="126"/>
      <c r="K204" s="126"/>
      <c r="L204" s="126"/>
      <c r="M204" s="126"/>
      <c r="N204" s="126"/>
      <c r="O204" s="126"/>
      <c r="P204" s="126"/>
      <c r="Q204" s="133"/>
    </row>
    <row r="205" spans="5:17">
      <c r="E205" s="126"/>
      <c r="F205" s="126"/>
      <c r="G205" s="126"/>
      <c r="H205" s="126"/>
      <c r="I205" s="126"/>
      <c r="J205" s="126"/>
      <c r="K205" s="126"/>
      <c r="L205" s="126"/>
      <c r="M205" s="126"/>
      <c r="N205" s="126"/>
      <c r="O205" s="126"/>
      <c r="P205" s="126"/>
      <c r="Q205" s="133"/>
    </row>
    <row r="206" spans="5:17">
      <c r="E206" s="126"/>
      <c r="F206" s="126"/>
      <c r="G206" s="126"/>
      <c r="H206" s="126"/>
      <c r="I206" s="126"/>
      <c r="J206" s="126"/>
      <c r="K206" s="126"/>
      <c r="L206" s="126"/>
      <c r="M206" s="126"/>
      <c r="N206" s="126"/>
      <c r="O206" s="126"/>
      <c r="P206" s="126"/>
      <c r="Q206" s="133"/>
    </row>
    <row r="207" spans="5:17">
      <c r="E207" s="126"/>
      <c r="F207" s="126"/>
      <c r="G207" s="126"/>
      <c r="H207" s="126"/>
      <c r="I207" s="126"/>
      <c r="J207" s="126"/>
      <c r="K207" s="126"/>
      <c r="L207" s="126"/>
      <c r="M207" s="126"/>
      <c r="N207" s="126"/>
      <c r="O207" s="126"/>
      <c r="P207" s="126"/>
      <c r="Q207" s="133"/>
    </row>
    <row r="208" spans="5:17">
      <c r="E208" s="126"/>
      <c r="F208" s="126"/>
      <c r="G208" s="126"/>
      <c r="H208" s="126"/>
      <c r="I208" s="126"/>
      <c r="J208" s="126"/>
      <c r="K208" s="126"/>
      <c r="L208" s="126"/>
      <c r="M208" s="126"/>
      <c r="N208" s="126"/>
      <c r="O208" s="126"/>
      <c r="P208" s="126"/>
      <c r="Q208" s="133"/>
    </row>
    <row r="209" spans="5:17">
      <c r="E209" s="126"/>
      <c r="F209" s="126"/>
      <c r="G209" s="126"/>
      <c r="H209" s="126"/>
      <c r="I209" s="126"/>
      <c r="J209" s="126"/>
      <c r="K209" s="126"/>
      <c r="L209" s="126"/>
      <c r="M209" s="126"/>
      <c r="N209" s="126"/>
      <c r="O209" s="126"/>
      <c r="P209" s="126"/>
      <c r="Q209" s="133"/>
    </row>
    <row r="210" spans="5:17">
      <c r="E210" s="126"/>
      <c r="F210" s="126"/>
      <c r="G210" s="126"/>
      <c r="H210" s="126"/>
      <c r="I210" s="126"/>
      <c r="J210" s="126"/>
      <c r="K210" s="126"/>
      <c r="L210" s="126"/>
      <c r="M210" s="126"/>
      <c r="N210" s="126"/>
      <c r="O210" s="126"/>
      <c r="P210" s="126"/>
      <c r="Q210" s="133"/>
    </row>
    <row r="211" spans="5:17">
      <c r="E211" s="126"/>
      <c r="F211" s="126"/>
      <c r="G211" s="126"/>
      <c r="H211" s="126"/>
      <c r="I211" s="126"/>
      <c r="J211" s="126"/>
      <c r="K211" s="126"/>
      <c r="L211" s="126"/>
      <c r="M211" s="126"/>
      <c r="N211" s="126"/>
      <c r="O211" s="126"/>
      <c r="P211" s="126"/>
      <c r="Q211" s="133"/>
    </row>
    <row r="212" spans="5:17">
      <c r="E212" s="126"/>
      <c r="F212" s="126"/>
      <c r="G212" s="126"/>
      <c r="H212" s="126"/>
      <c r="I212" s="126"/>
      <c r="J212" s="126"/>
      <c r="K212" s="126"/>
      <c r="L212" s="126"/>
      <c r="M212" s="126"/>
      <c r="N212" s="126"/>
      <c r="O212" s="126"/>
      <c r="P212" s="126"/>
      <c r="Q212" s="133"/>
    </row>
    <row r="213" spans="5:17">
      <c r="E213" s="126"/>
      <c r="F213" s="126"/>
      <c r="G213" s="126"/>
      <c r="H213" s="126"/>
      <c r="I213" s="126"/>
      <c r="J213" s="126"/>
      <c r="K213" s="126"/>
      <c r="L213" s="126"/>
      <c r="M213" s="126"/>
      <c r="N213" s="126"/>
      <c r="O213" s="126"/>
      <c r="P213" s="126"/>
      <c r="Q213" s="133"/>
    </row>
    <row r="214" spans="5:17">
      <c r="E214" s="126"/>
      <c r="F214" s="126"/>
      <c r="G214" s="126"/>
      <c r="H214" s="126"/>
      <c r="I214" s="126"/>
      <c r="J214" s="126"/>
      <c r="K214" s="126"/>
      <c r="L214" s="126"/>
      <c r="M214" s="126"/>
      <c r="N214" s="126"/>
      <c r="O214" s="126"/>
      <c r="P214" s="126"/>
      <c r="Q214" s="133"/>
    </row>
    <row r="215" spans="5:17">
      <c r="E215" s="126"/>
      <c r="F215" s="126"/>
      <c r="G215" s="126"/>
      <c r="H215" s="126"/>
      <c r="I215" s="126"/>
      <c r="J215" s="126"/>
      <c r="K215" s="126"/>
      <c r="L215" s="126"/>
      <c r="M215" s="126"/>
      <c r="N215" s="126"/>
      <c r="O215" s="126"/>
      <c r="P215" s="126"/>
      <c r="Q215" s="133"/>
    </row>
    <row r="216" spans="5:17">
      <c r="E216" s="126"/>
      <c r="F216" s="126"/>
      <c r="G216" s="126"/>
      <c r="H216" s="126"/>
      <c r="I216" s="126"/>
      <c r="J216" s="126"/>
      <c r="K216" s="126"/>
      <c r="L216" s="126"/>
      <c r="M216" s="126"/>
      <c r="N216" s="126"/>
      <c r="O216" s="126"/>
      <c r="P216" s="126"/>
      <c r="Q216" s="133"/>
    </row>
    <row r="217" spans="5:17">
      <c r="E217" s="126"/>
      <c r="F217" s="126"/>
      <c r="G217" s="126"/>
      <c r="H217" s="126"/>
      <c r="I217" s="126"/>
      <c r="J217" s="126"/>
      <c r="K217" s="126"/>
      <c r="L217" s="126"/>
      <c r="M217" s="126"/>
      <c r="N217" s="126"/>
      <c r="O217" s="126"/>
      <c r="P217" s="126"/>
      <c r="Q217" s="133"/>
    </row>
    <row r="218" spans="5:17">
      <c r="E218" s="126"/>
      <c r="F218" s="126"/>
      <c r="G218" s="126"/>
      <c r="H218" s="126"/>
      <c r="I218" s="126"/>
      <c r="J218" s="126"/>
      <c r="K218" s="126"/>
      <c r="L218" s="126"/>
      <c r="M218" s="126"/>
      <c r="N218" s="126"/>
      <c r="O218" s="126"/>
      <c r="P218" s="126"/>
      <c r="Q218" s="133"/>
    </row>
    <row r="219" spans="5:17">
      <c r="E219" s="126"/>
      <c r="F219" s="126"/>
      <c r="G219" s="126"/>
      <c r="H219" s="126"/>
      <c r="I219" s="126"/>
      <c r="J219" s="126"/>
      <c r="K219" s="126"/>
      <c r="L219" s="126"/>
      <c r="M219" s="126"/>
      <c r="N219" s="126"/>
      <c r="O219" s="126"/>
      <c r="P219" s="126"/>
      <c r="Q219" s="133"/>
    </row>
    <row r="220" spans="5:17">
      <c r="E220" s="126"/>
      <c r="F220" s="126"/>
      <c r="G220" s="126"/>
      <c r="H220" s="126"/>
      <c r="I220" s="126"/>
      <c r="J220" s="126"/>
      <c r="K220" s="126"/>
      <c r="L220" s="126"/>
      <c r="M220" s="126"/>
      <c r="N220" s="126"/>
      <c r="O220" s="126"/>
      <c r="P220" s="126"/>
      <c r="Q220" s="133"/>
    </row>
    <row r="221" spans="5:17">
      <c r="E221" s="126"/>
      <c r="F221" s="126"/>
      <c r="G221" s="126"/>
      <c r="H221" s="126"/>
      <c r="I221" s="126"/>
      <c r="J221" s="126"/>
      <c r="K221" s="126"/>
      <c r="L221" s="126"/>
      <c r="M221" s="126"/>
      <c r="N221" s="126"/>
      <c r="O221" s="126"/>
      <c r="P221" s="126"/>
      <c r="Q221" s="133"/>
    </row>
    <row r="222" spans="5:17">
      <c r="E222" s="126"/>
      <c r="F222" s="126"/>
      <c r="G222" s="126"/>
      <c r="H222" s="126"/>
      <c r="I222" s="126"/>
      <c r="J222" s="126"/>
      <c r="K222" s="126"/>
      <c r="L222" s="126"/>
      <c r="M222" s="126"/>
      <c r="N222" s="126"/>
      <c r="O222" s="126"/>
      <c r="P222" s="126"/>
      <c r="Q222" s="133"/>
    </row>
    <row r="223" spans="5:17">
      <c r="E223" s="126"/>
      <c r="F223" s="126"/>
      <c r="G223" s="126"/>
      <c r="H223" s="126"/>
      <c r="I223" s="126"/>
      <c r="J223" s="126"/>
      <c r="K223" s="126"/>
      <c r="L223" s="126"/>
      <c r="M223" s="126"/>
      <c r="N223" s="126"/>
      <c r="O223" s="126"/>
      <c r="P223" s="126"/>
      <c r="Q223" s="133"/>
    </row>
    <row r="224" spans="5:17">
      <c r="E224" s="126"/>
      <c r="F224" s="126"/>
      <c r="G224" s="126"/>
      <c r="H224" s="126"/>
      <c r="I224" s="126"/>
      <c r="J224" s="126"/>
      <c r="K224" s="126"/>
      <c r="L224" s="126"/>
      <c r="M224" s="126"/>
      <c r="N224" s="126"/>
      <c r="O224" s="126"/>
      <c r="P224" s="126"/>
      <c r="Q224" s="133"/>
    </row>
    <row r="225" spans="5:17">
      <c r="E225" s="126"/>
      <c r="F225" s="126"/>
      <c r="G225" s="126"/>
      <c r="H225" s="126"/>
      <c r="I225" s="126"/>
      <c r="J225" s="126"/>
      <c r="K225" s="126"/>
      <c r="L225" s="126"/>
      <c r="M225" s="126"/>
      <c r="N225" s="126"/>
      <c r="O225" s="126"/>
      <c r="P225" s="126"/>
      <c r="Q225" s="133"/>
    </row>
    <row r="226" spans="5:17">
      <c r="E226" s="126"/>
      <c r="F226" s="126"/>
      <c r="G226" s="126"/>
      <c r="H226" s="126"/>
      <c r="I226" s="126"/>
      <c r="J226" s="126"/>
      <c r="K226" s="126"/>
      <c r="L226" s="126"/>
      <c r="M226" s="126"/>
      <c r="N226" s="126"/>
      <c r="O226" s="126"/>
      <c r="P226" s="126"/>
      <c r="Q226" s="133"/>
    </row>
    <row r="227" spans="5:17">
      <c r="E227" s="126"/>
      <c r="F227" s="126"/>
      <c r="G227" s="126"/>
      <c r="H227" s="126"/>
      <c r="I227" s="126"/>
      <c r="J227" s="126"/>
      <c r="K227" s="126"/>
      <c r="L227" s="126"/>
      <c r="M227" s="126"/>
      <c r="N227" s="126"/>
      <c r="O227" s="126"/>
      <c r="P227" s="126"/>
      <c r="Q227" s="133"/>
    </row>
    <row r="228" spans="5:17">
      <c r="E228" s="126"/>
      <c r="F228" s="126"/>
      <c r="G228" s="126"/>
      <c r="H228" s="126"/>
      <c r="I228" s="126"/>
      <c r="J228" s="126"/>
      <c r="K228" s="126"/>
      <c r="L228" s="126"/>
      <c r="M228" s="126"/>
      <c r="N228" s="126"/>
      <c r="O228" s="126"/>
      <c r="P228" s="126"/>
      <c r="Q228" s="133"/>
    </row>
    <row r="229" spans="5:17">
      <c r="E229" s="126"/>
      <c r="F229" s="126"/>
      <c r="G229" s="126"/>
      <c r="H229" s="126"/>
      <c r="I229" s="126"/>
      <c r="J229" s="126"/>
      <c r="K229" s="126"/>
      <c r="L229" s="126"/>
      <c r="M229" s="126"/>
      <c r="N229" s="126"/>
      <c r="O229" s="126"/>
      <c r="P229" s="126"/>
      <c r="Q229" s="133"/>
    </row>
    <row r="230" spans="5:17">
      <c r="E230" s="126"/>
      <c r="F230" s="126"/>
      <c r="G230" s="126"/>
      <c r="H230" s="126"/>
      <c r="I230" s="126"/>
      <c r="J230" s="126"/>
      <c r="K230" s="126"/>
      <c r="L230" s="126"/>
      <c r="M230" s="126"/>
      <c r="N230" s="126"/>
      <c r="O230" s="126"/>
      <c r="P230" s="126"/>
      <c r="Q230" s="133"/>
    </row>
    <row r="231" spans="5:17">
      <c r="E231" s="126"/>
      <c r="F231" s="126"/>
      <c r="G231" s="126"/>
      <c r="H231" s="126"/>
      <c r="I231" s="126"/>
      <c r="J231" s="126"/>
      <c r="K231" s="126"/>
      <c r="L231" s="126"/>
      <c r="M231" s="126"/>
      <c r="N231" s="126"/>
      <c r="O231" s="126"/>
      <c r="P231" s="126"/>
      <c r="Q231" s="133"/>
    </row>
    <row r="232" spans="5:17">
      <c r="E232" s="126"/>
      <c r="F232" s="126"/>
      <c r="G232" s="126"/>
      <c r="H232" s="126"/>
      <c r="I232" s="126"/>
      <c r="J232" s="126"/>
      <c r="K232" s="126"/>
      <c r="L232" s="126"/>
      <c r="M232" s="126"/>
      <c r="N232" s="126"/>
      <c r="O232" s="126"/>
      <c r="P232" s="126"/>
      <c r="Q232" s="133"/>
    </row>
    <row r="233" spans="5:17">
      <c r="E233" s="126"/>
      <c r="F233" s="126"/>
      <c r="G233" s="126"/>
      <c r="H233" s="126"/>
      <c r="I233" s="126"/>
      <c r="J233" s="126"/>
      <c r="K233" s="126"/>
      <c r="L233" s="126"/>
      <c r="M233" s="126"/>
      <c r="N233" s="126"/>
      <c r="O233" s="126"/>
      <c r="P233" s="126"/>
      <c r="Q233" s="133"/>
    </row>
    <row r="234" spans="5:17">
      <c r="E234" s="126"/>
      <c r="F234" s="126"/>
      <c r="G234" s="126"/>
      <c r="H234" s="126"/>
      <c r="I234" s="126"/>
      <c r="J234" s="126"/>
      <c r="K234" s="126"/>
      <c r="L234" s="126"/>
      <c r="M234" s="126"/>
      <c r="N234" s="126"/>
      <c r="O234" s="126"/>
      <c r="P234" s="126"/>
      <c r="Q234" s="133"/>
    </row>
    <row r="235" spans="5:17">
      <c r="E235" s="126"/>
      <c r="F235" s="126"/>
      <c r="G235" s="126"/>
      <c r="H235" s="126"/>
      <c r="I235" s="126"/>
      <c r="J235" s="126"/>
      <c r="K235" s="126"/>
      <c r="L235" s="126"/>
      <c r="M235" s="126"/>
      <c r="N235" s="126"/>
      <c r="O235" s="126"/>
      <c r="P235" s="126"/>
      <c r="Q235" s="133"/>
    </row>
    <row r="236" spans="5:17">
      <c r="E236" s="126"/>
      <c r="F236" s="126"/>
      <c r="G236" s="126"/>
      <c r="H236" s="126"/>
      <c r="I236" s="126"/>
      <c r="J236" s="126"/>
      <c r="K236" s="126"/>
      <c r="L236" s="126"/>
      <c r="M236" s="126"/>
      <c r="N236" s="126"/>
      <c r="O236" s="126"/>
      <c r="P236" s="126"/>
      <c r="Q236" s="133"/>
    </row>
    <row r="237" spans="5:17">
      <c r="E237" s="126"/>
      <c r="F237" s="126"/>
      <c r="G237" s="126"/>
      <c r="H237" s="126"/>
      <c r="I237" s="126"/>
      <c r="J237" s="126"/>
      <c r="K237" s="126"/>
      <c r="L237" s="126"/>
      <c r="M237" s="126"/>
      <c r="N237" s="126"/>
      <c r="O237" s="126"/>
      <c r="P237" s="126"/>
      <c r="Q237" s="133"/>
    </row>
    <row r="238" spans="5:17">
      <c r="E238" s="126"/>
      <c r="F238" s="126"/>
      <c r="G238" s="126"/>
      <c r="H238" s="126"/>
      <c r="I238" s="126"/>
      <c r="J238" s="126"/>
      <c r="K238" s="126"/>
      <c r="L238" s="126"/>
      <c r="M238" s="126"/>
      <c r="N238" s="126"/>
      <c r="O238" s="126"/>
      <c r="P238" s="126"/>
      <c r="Q238" s="133"/>
    </row>
    <row r="239" spans="5:17">
      <c r="E239" s="126"/>
      <c r="F239" s="126"/>
      <c r="G239" s="126"/>
      <c r="H239" s="126"/>
      <c r="I239" s="126"/>
      <c r="J239" s="126"/>
      <c r="K239" s="126"/>
      <c r="L239" s="126"/>
      <c r="M239" s="126"/>
      <c r="N239" s="126"/>
      <c r="O239" s="126"/>
      <c r="P239" s="126"/>
      <c r="Q239" s="133"/>
    </row>
    <row r="240" spans="5:17">
      <c r="F240" s="126"/>
      <c r="G240" s="126"/>
      <c r="H240" s="126"/>
      <c r="I240" s="126"/>
      <c r="J240" s="126"/>
      <c r="K240" s="126"/>
      <c r="L240" s="126"/>
      <c r="M240" s="126"/>
      <c r="N240" s="126"/>
      <c r="O240" s="126"/>
      <c r="P240" s="126"/>
      <c r="Q240" s="133"/>
    </row>
    <row r="241" spans="6:17">
      <c r="F241" s="126"/>
      <c r="G241" s="126"/>
      <c r="H241" s="126"/>
      <c r="I241" s="126"/>
      <c r="J241" s="126"/>
      <c r="K241" s="126"/>
      <c r="L241" s="126"/>
      <c r="M241" s="126"/>
      <c r="N241" s="126"/>
      <c r="O241" s="126"/>
      <c r="P241" s="126"/>
      <c r="Q241" s="133"/>
    </row>
    <row r="242" spans="6:17">
      <c r="F242" s="126"/>
      <c r="G242" s="126"/>
      <c r="H242" s="126"/>
      <c r="I242" s="126"/>
      <c r="J242" s="126"/>
      <c r="K242" s="126"/>
      <c r="L242" s="126"/>
      <c r="M242" s="126"/>
      <c r="N242" s="126"/>
      <c r="O242" s="126"/>
      <c r="P242" s="126"/>
      <c r="Q242" s="133"/>
    </row>
    <row r="243" spans="6:17">
      <c r="F243" s="126"/>
      <c r="G243" s="126"/>
      <c r="H243" s="126"/>
      <c r="I243" s="126"/>
      <c r="J243" s="126"/>
      <c r="K243" s="126"/>
      <c r="L243" s="126"/>
      <c r="M243" s="126"/>
      <c r="N243" s="126"/>
      <c r="O243" s="126"/>
      <c r="P243" s="126"/>
      <c r="Q243" s="133"/>
    </row>
    <row r="244" spans="6:17">
      <c r="F244" s="126"/>
      <c r="G244" s="126"/>
      <c r="H244" s="126"/>
      <c r="I244" s="126"/>
      <c r="J244" s="126"/>
      <c r="K244" s="126"/>
      <c r="L244" s="126"/>
      <c r="M244" s="126"/>
      <c r="N244" s="126"/>
      <c r="O244" s="126"/>
      <c r="P244" s="126"/>
      <c r="Q244" s="133"/>
    </row>
    <row r="245" spans="6:17">
      <c r="F245" s="126"/>
      <c r="G245" s="126"/>
      <c r="H245" s="126"/>
      <c r="I245" s="126"/>
      <c r="J245" s="126"/>
      <c r="K245" s="126"/>
      <c r="L245" s="126"/>
      <c r="M245" s="126"/>
      <c r="N245" s="126"/>
      <c r="O245" s="126"/>
      <c r="P245" s="126"/>
      <c r="Q245" s="133"/>
    </row>
    <row r="246" spans="6:17">
      <c r="F246" s="126"/>
      <c r="G246" s="126"/>
      <c r="H246" s="126"/>
      <c r="I246" s="126"/>
      <c r="J246" s="126"/>
      <c r="K246" s="126"/>
      <c r="L246" s="126"/>
      <c r="M246" s="126"/>
      <c r="N246" s="126"/>
      <c r="O246" s="126"/>
      <c r="P246" s="126"/>
      <c r="Q246" s="133"/>
    </row>
    <row r="247" spans="6:17">
      <c r="F247" s="126"/>
      <c r="G247" s="126"/>
      <c r="H247" s="126"/>
      <c r="I247" s="126"/>
      <c r="J247" s="126"/>
      <c r="K247" s="126"/>
      <c r="L247" s="126"/>
      <c r="M247" s="126"/>
      <c r="N247" s="126"/>
      <c r="O247" s="126"/>
      <c r="P247" s="126"/>
      <c r="Q247" s="133"/>
    </row>
    <row r="248" spans="6:17">
      <c r="F248" s="126"/>
      <c r="G248" s="126"/>
      <c r="H248" s="126"/>
      <c r="I248" s="126"/>
      <c r="J248" s="126"/>
      <c r="K248" s="126"/>
      <c r="L248" s="126"/>
      <c r="M248" s="126"/>
      <c r="N248" s="126"/>
      <c r="O248" s="126"/>
      <c r="P248" s="126"/>
      <c r="Q248" s="133"/>
    </row>
    <row r="249" spans="6:17">
      <c r="F249" s="126"/>
      <c r="G249" s="126"/>
      <c r="H249" s="126"/>
      <c r="I249" s="126"/>
      <c r="J249" s="126"/>
      <c r="K249" s="126"/>
      <c r="L249" s="126"/>
      <c r="M249" s="126"/>
      <c r="N249" s="126"/>
      <c r="O249" s="126"/>
      <c r="P249" s="126"/>
      <c r="Q249" s="133"/>
    </row>
    <row r="250" spans="6:17">
      <c r="F250" s="126"/>
      <c r="G250" s="126"/>
      <c r="H250" s="126"/>
      <c r="I250" s="126"/>
      <c r="J250" s="126"/>
      <c r="K250" s="126"/>
      <c r="L250" s="126"/>
      <c r="M250" s="126"/>
      <c r="N250" s="126"/>
      <c r="O250" s="126"/>
      <c r="P250" s="126"/>
      <c r="Q250" s="133"/>
    </row>
    <row r="251" spans="6:17">
      <c r="F251" s="126"/>
      <c r="G251" s="126"/>
      <c r="H251" s="126"/>
      <c r="I251" s="126"/>
      <c r="J251" s="126"/>
      <c r="K251" s="126"/>
      <c r="L251" s="126"/>
      <c r="M251" s="126"/>
      <c r="N251" s="126"/>
      <c r="O251" s="126"/>
      <c r="P251" s="126"/>
      <c r="Q251" s="133"/>
    </row>
    <row r="252" spans="6:17">
      <c r="F252" s="126"/>
      <c r="G252" s="126"/>
      <c r="H252" s="126"/>
      <c r="I252" s="126"/>
      <c r="J252" s="126"/>
      <c r="K252" s="126"/>
      <c r="L252" s="126"/>
      <c r="M252" s="126"/>
      <c r="N252" s="126"/>
      <c r="O252" s="126"/>
      <c r="P252" s="126"/>
      <c r="Q252" s="133"/>
    </row>
    <row r="253" spans="6:17">
      <c r="F253" s="126"/>
      <c r="G253" s="126"/>
      <c r="H253" s="126"/>
      <c r="I253" s="126"/>
      <c r="J253" s="126"/>
      <c r="K253" s="126"/>
      <c r="L253" s="126"/>
      <c r="M253" s="126"/>
      <c r="N253" s="126"/>
      <c r="O253" s="126"/>
      <c r="P253" s="126"/>
      <c r="Q253" s="133"/>
    </row>
    <row r="254" spans="6:17">
      <c r="F254" s="126"/>
      <c r="G254" s="126"/>
      <c r="H254" s="126"/>
      <c r="I254" s="126"/>
      <c r="J254" s="126"/>
      <c r="K254" s="126"/>
      <c r="L254" s="126"/>
      <c r="M254" s="126"/>
      <c r="N254" s="126"/>
      <c r="O254" s="126"/>
      <c r="P254" s="126"/>
      <c r="Q254" s="133"/>
    </row>
    <row r="255" spans="6:17">
      <c r="F255" s="126"/>
      <c r="G255" s="126"/>
      <c r="H255" s="126"/>
      <c r="I255" s="126"/>
      <c r="J255" s="126"/>
      <c r="K255" s="126"/>
      <c r="L255" s="126"/>
      <c r="M255" s="126"/>
      <c r="N255" s="126"/>
      <c r="O255" s="126"/>
      <c r="P255" s="126"/>
      <c r="Q255" s="133"/>
    </row>
    <row r="256" spans="6:17">
      <c r="F256" s="126"/>
      <c r="G256" s="126"/>
      <c r="H256" s="126"/>
      <c r="I256" s="126"/>
      <c r="J256" s="126"/>
      <c r="K256" s="126"/>
      <c r="L256" s="126"/>
      <c r="M256" s="126"/>
      <c r="N256" s="126"/>
      <c r="O256" s="126"/>
      <c r="P256" s="126"/>
      <c r="Q256" s="133"/>
    </row>
    <row r="257" spans="6:17">
      <c r="F257" s="126"/>
      <c r="G257" s="126"/>
      <c r="H257" s="126"/>
      <c r="I257" s="126"/>
      <c r="J257" s="126"/>
      <c r="K257" s="126"/>
      <c r="L257" s="126"/>
      <c r="M257" s="126"/>
      <c r="N257" s="126"/>
      <c r="O257" s="126"/>
      <c r="P257" s="126"/>
      <c r="Q257" s="133"/>
    </row>
    <row r="258" spans="6:17">
      <c r="F258" s="126"/>
      <c r="G258" s="126"/>
      <c r="H258" s="126"/>
      <c r="I258" s="126"/>
      <c r="J258" s="126"/>
      <c r="K258" s="126"/>
      <c r="L258" s="126"/>
      <c r="M258" s="126"/>
      <c r="N258" s="126"/>
      <c r="O258" s="126"/>
      <c r="P258" s="126"/>
      <c r="Q258" s="133"/>
    </row>
    <row r="259" spans="6:17">
      <c r="F259" s="126"/>
      <c r="G259" s="126"/>
      <c r="H259" s="126"/>
      <c r="I259" s="126"/>
      <c r="J259" s="126"/>
      <c r="K259" s="126"/>
      <c r="L259" s="126"/>
      <c r="M259" s="126"/>
      <c r="N259" s="126"/>
      <c r="O259" s="126"/>
      <c r="P259" s="126"/>
      <c r="Q259" s="133"/>
    </row>
    <row r="260" spans="6:17">
      <c r="F260" s="126"/>
      <c r="G260" s="126"/>
      <c r="H260" s="126"/>
      <c r="I260" s="126"/>
      <c r="J260" s="126"/>
      <c r="K260" s="126"/>
      <c r="L260" s="126"/>
      <c r="M260" s="126"/>
      <c r="N260" s="126"/>
      <c r="O260" s="126"/>
      <c r="P260" s="126"/>
      <c r="Q260" s="133"/>
    </row>
    <row r="261" spans="6:17">
      <c r="F261" s="126"/>
      <c r="G261" s="126"/>
      <c r="H261" s="126"/>
      <c r="I261" s="126"/>
      <c r="J261" s="126"/>
      <c r="K261" s="126"/>
      <c r="L261" s="126"/>
      <c r="M261" s="126"/>
      <c r="N261" s="126"/>
      <c r="O261" s="126"/>
      <c r="P261" s="126"/>
      <c r="Q261" s="133"/>
    </row>
    <row r="262" spans="6:17">
      <c r="F262" s="126"/>
      <c r="G262" s="126"/>
      <c r="H262" s="126"/>
      <c r="I262" s="126"/>
      <c r="J262" s="126"/>
      <c r="K262" s="126"/>
      <c r="L262" s="126"/>
      <c r="M262" s="126"/>
      <c r="N262" s="126"/>
      <c r="O262" s="126"/>
      <c r="P262" s="126"/>
      <c r="Q262" s="133"/>
    </row>
    <row r="263" spans="6:17">
      <c r="F263" s="126"/>
      <c r="G263" s="126"/>
      <c r="H263" s="126"/>
      <c r="I263" s="126"/>
      <c r="J263" s="126"/>
      <c r="K263" s="126"/>
      <c r="L263" s="126"/>
      <c r="M263" s="126"/>
      <c r="N263" s="126"/>
      <c r="O263" s="126"/>
      <c r="P263" s="126"/>
      <c r="Q263" s="133"/>
    </row>
    <row r="264" spans="6:17">
      <c r="F264" s="126"/>
      <c r="G264" s="126"/>
      <c r="H264" s="126"/>
      <c r="I264" s="126"/>
      <c r="J264" s="126"/>
      <c r="K264" s="126"/>
      <c r="L264" s="126"/>
      <c r="M264" s="126"/>
      <c r="N264" s="126"/>
      <c r="O264" s="126"/>
      <c r="P264" s="126"/>
      <c r="Q264" s="133"/>
    </row>
    <row r="265" spans="6:17">
      <c r="F265" s="126"/>
      <c r="G265" s="126"/>
      <c r="H265" s="126"/>
      <c r="I265" s="126"/>
      <c r="J265" s="126"/>
      <c r="K265" s="126"/>
      <c r="L265" s="126"/>
      <c r="M265" s="126"/>
      <c r="N265" s="126"/>
      <c r="O265" s="126"/>
      <c r="P265" s="126"/>
      <c r="Q265" s="133"/>
    </row>
    <row r="266" spans="6:17">
      <c r="F266" s="126"/>
      <c r="G266" s="126"/>
      <c r="H266" s="126"/>
      <c r="I266" s="126"/>
      <c r="J266" s="126"/>
      <c r="K266" s="126"/>
      <c r="L266" s="126"/>
      <c r="M266" s="126"/>
      <c r="N266" s="126"/>
      <c r="O266" s="126"/>
      <c r="P266" s="126"/>
      <c r="Q266" s="133"/>
    </row>
    <row r="267" spans="6:17">
      <c r="F267" s="126"/>
      <c r="G267" s="126"/>
      <c r="H267" s="126"/>
      <c r="I267" s="126"/>
      <c r="J267" s="126"/>
      <c r="K267" s="126"/>
      <c r="L267" s="126"/>
      <c r="M267" s="126"/>
      <c r="N267" s="126"/>
      <c r="O267" s="126"/>
      <c r="P267" s="126"/>
      <c r="Q267" s="133"/>
    </row>
    <row r="268" spans="6:17">
      <c r="F268" s="126"/>
      <c r="G268" s="126"/>
      <c r="H268" s="126"/>
      <c r="I268" s="126"/>
      <c r="J268" s="126"/>
      <c r="K268" s="126"/>
      <c r="L268" s="126"/>
      <c r="M268" s="126"/>
      <c r="N268" s="126"/>
      <c r="O268" s="126"/>
      <c r="P268" s="126"/>
      <c r="Q268" s="133"/>
    </row>
    <row r="269" spans="6:17">
      <c r="F269" s="126"/>
      <c r="G269" s="126"/>
      <c r="H269" s="126"/>
      <c r="I269" s="126"/>
      <c r="J269" s="126"/>
      <c r="K269" s="126"/>
      <c r="L269" s="126"/>
      <c r="M269" s="126"/>
      <c r="N269" s="126"/>
      <c r="O269" s="126"/>
      <c r="P269" s="126"/>
      <c r="Q269" s="133"/>
    </row>
    <row r="270" spans="6:17">
      <c r="F270" s="126"/>
      <c r="G270" s="126"/>
      <c r="H270" s="126"/>
      <c r="I270" s="126"/>
      <c r="J270" s="126"/>
      <c r="K270" s="126"/>
      <c r="L270" s="126"/>
      <c r="M270" s="126"/>
      <c r="N270" s="126"/>
      <c r="O270" s="126"/>
      <c r="P270" s="126"/>
      <c r="Q270" s="133"/>
    </row>
    <row r="271" spans="6:17">
      <c r="F271" s="126"/>
      <c r="G271" s="126"/>
      <c r="H271" s="126"/>
      <c r="I271" s="126"/>
      <c r="J271" s="126"/>
      <c r="K271" s="126"/>
      <c r="L271" s="126"/>
      <c r="M271" s="126"/>
      <c r="N271" s="126"/>
      <c r="O271" s="126"/>
      <c r="P271" s="126"/>
      <c r="Q271" s="133"/>
    </row>
    <row r="272" spans="6:17">
      <c r="F272" s="126"/>
      <c r="G272" s="126"/>
      <c r="H272" s="126"/>
      <c r="I272" s="126"/>
      <c r="J272" s="126"/>
      <c r="K272" s="126"/>
      <c r="L272" s="126"/>
      <c r="M272" s="126"/>
      <c r="N272" s="126"/>
      <c r="O272" s="126"/>
      <c r="P272" s="126"/>
      <c r="Q272" s="133"/>
    </row>
    <row r="273" spans="6:17">
      <c r="F273" s="126"/>
      <c r="G273" s="126"/>
      <c r="H273" s="126"/>
      <c r="I273" s="126"/>
      <c r="J273" s="126"/>
      <c r="K273" s="126"/>
      <c r="L273" s="126"/>
      <c r="M273" s="126"/>
      <c r="N273" s="126"/>
      <c r="O273" s="126"/>
      <c r="P273" s="126"/>
      <c r="Q273" s="133"/>
    </row>
    <row r="274" spans="6:17">
      <c r="F274" s="126"/>
      <c r="G274" s="126"/>
      <c r="H274" s="126"/>
      <c r="I274" s="126"/>
      <c r="J274" s="126"/>
      <c r="K274" s="126"/>
      <c r="L274" s="126"/>
      <c r="M274" s="126"/>
      <c r="N274" s="126"/>
      <c r="O274" s="126"/>
      <c r="P274" s="126"/>
      <c r="Q274" s="133"/>
    </row>
    <row r="275" spans="6:17">
      <c r="F275" s="126"/>
      <c r="G275" s="126"/>
      <c r="H275" s="126"/>
      <c r="I275" s="126"/>
      <c r="J275" s="126"/>
      <c r="K275" s="126"/>
      <c r="L275" s="126"/>
      <c r="M275" s="126"/>
      <c r="N275" s="126"/>
      <c r="O275" s="126"/>
      <c r="P275" s="126"/>
      <c r="Q275" s="133"/>
    </row>
    <row r="276" spans="6:17">
      <c r="F276" s="126"/>
      <c r="G276" s="126"/>
      <c r="H276" s="126"/>
      <c r="I276" s="126"/>
      <c r="J276" s="126"/>
      <c r="K276" s="126"/>
      <c r="L276" s="126"/>
      <c r="M276" s="126"/>
      <c r="N276" s="126"/>
      <c r="O276" s="126"/>
      <c r="P276" s="126"/>
      <c r="Q276" s="133"/>
    </row>
    <row r="277" spans="6:17">
      <c r="F277" s="126"/>
      <c r="G277" s="126"/>
      <c r="H277" s="126"/>
      <c r="I277" s="126"/>
      <c r="J277" s="126"/>
      <c r="K277" s="126"/>
      <c r="L277" s="126"/>
      <c r="M277" s="126"/>
      <c r="N277" s="126"/>
      <c r="O277" s="126"/>
      <c r="P277" s="126"/>
      <c r="Q277" s="133"/>
    </row>
    <row r="278" spans="6:17">
      <c r="F278" s="126"/>
      <c r="G278" s="126"/>
      <c r="H278" s="126"/>
      <c r="I278" s="126"/>
      <c r="J278" s="126"/>
      <c r="K278" s="126"/>
      <c r="L278" s="126"/>
      <c r="M278" s="126"/>
      <c r="N278" s="126"/>
      <c r="O278" s="126"/>
      <c r="P278" s="126"/>
      <c r="Q278" s="133"/>
    </row>
    <row r="279" spans="6:17">
      <c r="F279" s="126"/>
      <c r="G279" s="126"/>
      <c r="H279" s="126"/>
      <c r="I279" s="126"/>
      <c r="J279" s="126"/>
      <c r="K279" s="126"/>
      <c r="L279" s="126"/>
      <c r="M279" s="126"/>
      <c r="N279" s="126"/>
      <c r="O279" s="126"/>
      <c r="P279" s="126"/>
      <c r="Q279" s="133"/>
    </row>
    <row r="280" spans="6:17">
      <c r="F280" s="126"/>
      <c r="G280" s="126"/>
      <c r="H280" s="126"/>
      <c r="I280" s="126"/>
      <c r="J280" s="126"/>
      <c r="K280" s="126"/>
      <c r="L280" s="126"/>
      <c r="M280" s="126"/>
      <c r="N280" s="126"/>
      <c r="O280" s="126"/>
      <c r="P280" s="126"/>
      <c r="Q280" s="133"/>
    </row>
    <row r="281" spans="6:17">
      <c r="F281" s="126"/>
      <c r="G281" s="126"/>
      <c r="H281" s="126"/>
      <c r="I281" s="126"/>
      <c r="J281" s="126"/>
      <c r="K281" s="126"/>
      <c r="L281" s="126"/>
      <c r="M281" s="126"/>
      <c r="N281" s="126"/>
      <c r="O281" s="126"/>
      <c r="P281" s="126"/>
      <c r="Q281" s="133"/>
    </row>
    <row r="282" spans="6:17">
      <c r="F282" s="126"/>
      <c r="G282" s="126"/>
      <c r="H282" s="126"/>
      <c r="I282" s="126"/>
      <c r="J282" s="126"/>
      <c r="K282" s="126"/>
      <c r="L282" s="126"/>
      <c r="M282" s="126"/>
      <c r="N282" s="126"/>
      <c r="O282" s="126"/>
      <c r="P282" s="126"/>
      <c r="Q282" s="133"/>
    </row>
    <row r="283" spans="6:17">
      <c r="F283" s="126"/>
      <c r="G283" s="126"/>
      <c r="H283" s="126"/>
      <c r="I283" s="126"/>
      <c r="J283" s="126"/>
      <c r="K283" s="126"/>
      <c r="L283" s="126"/>
      <c r="M283" s="126"/>
      <c r="N283" s="126"/>
      <c r="O283" s="126"/>
      <c r="P283" s="126"/>
      <c r="Q283" s="133"/>
    </row>
    <row r="284" spans="6:17">
      <c r="F284" s="126"/>
      <c r="G284" s="126"/>
      <c r="H284" s="126"/>
      <c r="I284" s="126"/>
      <c r="J284" s="126"/>
      <c r="K284" s="126"/>
      <c r="L284" s="126"/>
      <c r="M284" s="126"/>
      <c r="N284" s="126"/>
      <c r="O284" s="126"/>
      <c r="P284" s="126"/>
      <c r="Q284" s="133"/>
    </row>
    <row r="285" spans="6:17">
      <c r="F285" s="126"/>
      <c r="G285" s="126"/>
      <c r="H285" s="126"/>
      <c r="I285" s="126"/>
      <c r="J285" s="126"/>
      <c r="K285" s="126"/>
      <c r="L285" s="126"/>
      <c r="M285" s="126"/>
      <c r="N285" s="126"/>
      <c r="O285" s="126"/>
      <c r="P285" s="126"/>
      <c r="Q285" s="133"/>
    </row>
    <row r="286" spans="6:17">
      <c r="F286" s="126"/>
      <c r="G286" s="126"/>
      <c r="H286" s="126"/>
      <c r="I286" s="126"/>
      <c r="J286" s="126"/>
      <c r="K286" s="126"/>
      <c r="L286" s="126"/>
      <c r="M286" s="126"/>
      <c r="N286" s="126"/>
      <c r="O286" s="126"/>
      <c r="P286" s="126"/>
      <c r="Q286" s="133"/>
    </row>
    <row r="287" spans="6:17">
      <c r="F287" s="126"/>
      <c r="G287" s="126"/>
      <c r="H287" s="126"/>
      <c r="I287" s="126"/>
      <c r="J287" s="126"/>
      <c r="K287" s="126"/>
      <c r="L287" s="126"/>
      <c r="M287" s="126"/>
      <c r="N287" s="126"/>
      <c r="O287" s="126"/>
      <c r="P287" s="126"/>
      <c r="Q287" s="133"/>
    </row>
    <row r="288" spans="6:17">
      <c r="F288" s="126"/>
      <c r="G288" s="126"/>
      <c r="H288" s="126"/>
      <c r="I288" s="126"/>
      <c r="J288" s="126"/>
      <c r="K288" s="126"/>
      <c r="L288" s="126"/>
      <c r="M288" s="126"/>
      <c r="N288" s="126"/>
      <c r="O288" s="126"/>
      <c r="P288" s="126"/>
      <c r="Q288" s="133"/>
    </row>
    <row r="289" spans="6:17">
      <c r="F289" s="126"/>
      <c r="G289" s="126"/>
      <c r="H289" s="126"/>
      <c r="I289" s="126"/>
      <c r="J289" s="126"/>
      <c r="K289" s="126"/>
      <c r="L289" s="126"/>
      <c r="M289" s="126"/>
      <c r="N289" s="126"/>
      <c r="O289" s="126"/>
      <c r="P289" s="126"/>
      <c r="Q289" s="133"/>
    </row>
    <row r="290" spans="6:17">
      <c r="F290" s="126"/>
      <c r="G290" s="126"/>
      <c r="H290" s="126"/>
      <c r="I290" s="126"/>
      <c r="J290" s="126"/>
      <c r="K290" s="126"/>
      <c r="L290" s="126"/>
      <c r="M290" s="126"/>
      <c r="N290" s="126"/>
      <c r="O290" s="126"/>
      <c r="P290" s="126"/>
      <c r="Q290" s="133"/>
    </row>
    <row r="291" spans="6:17">
      <c r="F291" s="126"/>
      <c r="G291" s="126"/>
      <c r="H291" s="126"/>
      <c r="I291" s="126"/>
      <c r="J291" s="126"/>
      <c r="K291" s="126"/>
      <c r="L291" s="126"/>
      <c r="M291" s="126"/>
      <c r="N291" s="126"/>
      <c r="O291" s="126"/>
      <c r="P291" s="126"/>
      <c r="Q291" s="133"/>
    </row>
    <row r="292" spans="6:17">
      <c r="F292" s="126"/>
      <c r="G292" s="126"/>
      <c r="H292" s="126"/>
      <c r="I292" s="126"/>
      <c r="J292" s="126"/>
      <c r="K292" s="126"/>
      <c r="L292" s="126"/>
      <c r="M292" s="126"/>
      <c r="N292" s="126"/>
      <c r="O292" s="126"/>
      <c r="P292" s="126"/>
      <c r="Q292" s="133"/>
    </row>
    <row r="293" spans="6:17">
      <c r="F293" s="126"/>
      <c r="G293" s="126"/>
      <c r="H293" s="126"/>
      <c r="I293" s="126"/>
      <c r="J293" s="126"/>
      <c r="K293" s="126"/>
      <c r="L293" s="126"/>
      <c r="M293" s="126"/>
      <c r="N293" s="126"/>
      <c r="O293" s="126"/>
      <c r="P293" s="126"/>
      <c r="Q293" s="133"/>
    </row>
    <row r="294" spans="6:17">
      <c r="F294" s="126"/>
      <c r="G294" s="126"/>
      <c r="H294" s="126"/>
      <c r="I294" s="126"/>
      <c r="J294" s="126"/>
      <c r="K294" s="126"/>
      <c r="L294" s="126"/>
      <c r="M294" s="126"/>
      <c r="N294" s="126"/>
      <c r="O294" s="126"/>
      <c r="P294" s="126"/>
      <c r="Q294" s="133"/>
    </row>
    <row r="295" spans="6:17">
      <c r="F295" s="126"/>
      <c r="G295" s="126"/>
      <c r="H295" s="126"/>
      <c r="I295" s="126"/>
      <c r="J295" s="126"/>
      <c r="K295" s="126"/>
      <c r="L295" s="126"/>
      <c r="M295" s="126"/>
      <c r="N295" s="126"/>
      <c r="O295" s="126"/>
      <c r="P295" s="126"/>
      <c r="Q295" s="133"/>
    </row>
    <row r="296" spans="6:17">
      <c r="F296" s="126"/>
      <c r="G296" s="126"/>
      <c r="H296" s="126"/>
      <c r="I296" s="126"/>
      <c r="J296" s="126"/>
      <c r="K296" s="126"/>
      <c r="L296" s="126"/>
      <c r="M296" s="126"/>
      <c r="N296" s="126"/>
      <c r="O296" s="126"/>
      <c r="P296" s="126"/>
      <c r="Q296" s="133"/>
    </row>
    <row r="297" spans="6:17">
      <c r="F297" s="126"/>
      <c r="G297" s="126"/>
      <c r="H297" s="126"/>
      <c r="I297" s="126"/>
      <c r="J297" s="126"/>
      <c r="K297" s="126"/>
      <c r="L297" s="126"/>
      <c r="M297" s="126"/>
      <c r="N297" s="126"/>
      <c r="O297" s="126"/>
      <c r="P297" s="126"/>
      <c r="Q297" s="133"/>
    </row>
    <row r="298" spans="6:17">
      <c r="F298" s="126"/>
      <c r="G298" s="126"/>
      <c r="H298" s="126"/>
      <c r="I298" s="126"/>
      <c r="J298" s="126"/>
      <c r="K298" s="126"/>
      <c r="L298" s="126"/>
      <c r="M298" s="126"/>
      <c r="N298" s="126"/>
      <c r="O298" s="126"/>
      <c r="P298" s="126"/>
      <c r="Q298" s="133"/>
    </row>
    <row r="299" spans="6:17">
      <c r="F299" s="126"/>
      <c r="G299" s="126"/>
      <c r="H299" s="126"/>
      <c r="I299" s="126"/>
      <c r="J299" s="126"/>
      <c r="K299" s="126"/>
      <c r="L299" s="126"/>
      <c r="M299" s="126"/>
      <c r="N299" s="126"/>
      <c r="O299" s="126"/>
      <c r="P299" s="126"/>
      <c r="Q299" s="133"/>
    </row>
    <row r="300" spans="6:17">
      <c r="F300" s="126"/>
      <c r="G300" s="126"/>
      <c r="H300" s="126"/>
      <c r="I300" s="126"/>
      <c r="J300" s="126"/>
      <c r="K300" s="126"/>
      <c r="L300" s="126"/>
      <c r="M300" s="126"/>
      <c r="N300" s="126"/>
      <c r="O300" s="126"/>
      <c r="P300" s="126"/>
      <c r="Q300" s="133"/>
    </row>
    <row r="301" spans="6:17">
      <c r="F301" s="126"/>
      <c r="G301" s="126"/>
      <c r="H301" s="126"/>
      <c r="I301" s="126"/>
      <c r="J301" s="126"/>
      <c r="K301" s="126"/>
      <c r="L301" s="126"/>
      <c r="M301" s="126"/>
      <c r="N301" s="126"/>
      <c r="O301" s="126"/>
      <c r="P301" s="126"/>
      <c r="Q301" s="133"/>
    </row>
    <row r="302" spans="6:17">
      <c r="F302" s="126"/>
      <c r="G302" s="126"/>
      <c r="H302" s="126"/>
      <c r="I302" s="126"/>
      <c r="J302" s="126"/>
      <c r="K302" s="126"/>
      <c r="L302" s="126"/>
      <c r="M302" s="126"/>
      <c r="N302" s="126"/>
      <c r="O302" s="126"/>
      <c r="P302" s="126"/>
      <c r="Q302" s="133"/>
    </row>
    <row r="303" spans="6:17">
      <c r="F303" s="126"/>
      <c r="G303" s="126"/>
      <c r="H303" s="126"/>
      <c r="I303" s="126"/>
      <c r="J303" s="126"/>
      <c r="K303" s="126"/>
      <c r="L303" s="126"/>
      <c r="M303" s="126"/>
      <c r="N303" s="126"/>
      <c r="O303" s="126"/>
      <c r="P303" s="126"/>
      <c r="Q303" s="133"/>
    </row>
    <row r="304" spans="6:17">
      <c r="F304" s="126"/>
      <c r="G304" s="126"/>
      <c r="H304" s="126"/>
      <c r="I304" s="126"/>
      <c r="J304" s="126"/>
      <c r="K304" s="126"/>
      <c r="L304" s="126"/>
      <c r="M304" s="126"/>
      <c r="N304" s="126"/>
      <c r="O304" s="126"/>
      <c r="P304" s="126"/>
      <c r="Q304" s="133"/>
    </row>
    <row r="305" spans="6:17">
      <c r="F305" s="126"/>
      <c r="G305" s="126"/>
      <c r="H305" s="126"/>
      <c r="I305" s="126"/>
      <c r="J305" s="126"/>
      <c r="K305" s="126"/>
      <c r="L305" s="126"/>
      <c r="M305" s="126"/>
      <c r="N305" s="126"/>
      <c r="O305" s="126"/>
      <c r="P305" s="126"/>
      <c r="Q305" s="133"/>
    </row>
    <row r="306" spans="6:17">
      <c r="F306" s="126"/>
      <c r="G306" s="126"/>
      <c r="H306" s="126"/>
      <c r="I306" s="126"/>
      <c r="J306" s="126"/>
      <c r="K306" s="126"/>
      <c r="L306" s="126"/>
      <c r="M306" s="126"/>
      <c r="N306" s="126"/>
      <c r="O306" s="126"/>
      <c r="P306" s="126"/>
      <c r="Q306" s="133"/>
    </row>
    <row r="307" spans="6:17">
      <c r="F307" s="126"/>
      <c r="G307" s="126"/>
      <c r="H307" s="126"/>
      <c r="I307" s="126"/>
      <c r="J307" s="126"/>
      <c r="K307" s="126"/>
      <c r="L307" s="126"/>
      <c r="M307" s="126"/>
      <c r="N307" s="126"/>
      <c r="O307" s="126"/>
      <c r="P307" s="126"/>
      <c r="Q307" s="133"/>
    </row>
    <row r="308" spans="6:17">
      <c r="F308" s="126"/>
      <c r="G308" s="126"/>
      <c r="H308" s="126"/>
      <c r="I308" s="126"/>
      <c r="J308" s="126"/>
      <c r="K308" s="126"/>
      <c r="L308" s="126"/>
      <c r="M308" s="126"/>
      <c r="N308" s="126"/>
      <c r="O308" s="126"/>
      <c r="P308" s="126"/>
      <c r="Q308" s="133"/>
    </row>
    <row r="309" spans="6:17">
      <c r="F309" s="126"/>
      <c r="G309" s="126"/>
      <c r="H309" s="126"/>
      <c r="I309" s="126"/>
      <c r="J309" s="126"/>
      <c r="K309" s="126"/>
      <c r="L309" s="126"/>
      <c r="M309" s="126"/>
      <c r="N309" s="126"/>
      <c r="O309" s="126"/>
      <c r="P309" s="126"/>
      <c r="Q309" s="133"/>
    </row>
    <row r="310" spans="6:17">
      <c r="F310" s="126"/>
      <c r="G310" s="126"/>
      <c r="H310" s="126"/>
      <c r="I310" s="126"/>
      <c r="J310" s="126"/>
      <c r="K310" s="126"/>
      <c r="L310" s="126"/>
      <c r="M310" s="126"/>
      <c r="N310" s="126"/>
      <c r="O310" s="126"/>
      <c r="P310" s="126"/>
      <c r="Q310" s="133"/>
    </row>
    <row r="311" spans="6:17">
      <c r="F311" s="126"/>
      <c r="G311" s="126"/>
      <c r="H311" s="126"/>
      <c r="I311" s="126"/>
      <c r="J311" s="126"/>
      <c r="K311" s="126"/>
      <c r="L311" s="126"/>
      <c r="M311" s="126"/>
      <c r="N311" s="126"/>
      <c r="O311" s="126"/>
      <c r="P311" s="126"/>
      <c r="Q311" s="133"/>
    </row>
    <row r="312" spans="6:17">
      <c r="F312" s="126"/>
      <c r="G312" s="126"/>
      <c r="H312" s="126"/>
      <c r="I312" s="126"/>
      <c r="J312" s="126"/>
      <c r="K312" s="126"/>
      <c r="L312" s="126"/>
      <c r="M312" s="126"/>
      <c r="N312" s="126"/>
      <c r="O312" s="126"/>
      <c r="P312" s="126"/>
      <c r="Q312" s="133"/>
    </row>
    <row r="313" spans="6:17">
      <c r="F313" s="126"/>
      <c r="G313" s="126"/>
      <c r="H313" s="126"/>
      <c r="I313" s="126"/>
      <c r="J313" s="126"/>
      <c r="K313" s="126"/>
      <c r="L313" s="126"/>
      <c r="M313" s="126"/>
      <c r="N313" s="126"/>
      <c r="O313" s="126"/>
      <c r="P313" s="126"/>
      <c r="Q313" s="133"/>
    </row>
    <row r="314" spans="6:17">
      <c r="F314" s="126"/>
      <c r="G314" s="126"/>
      <c r="H314" s="126"/>
      <c r="I314" s="126"/>
      <c r="J314" s="126"/>
      <c r="K314" s="126"/>
      <c r="L314" s="126"/>
      <c r="M314" s="126"/>
      <c r="N314" s="126"/>
      <c r="O314" s="126"/>
      <c r="P314" s="126"/>
      <c r="Q314" s="133"/>
    </row>
    <row r="315" spans="6:17">
      <c r="F315" s="126"/>
      <c r="G315" s="126"/>
      <c r="H315" s="126"/>
      <c r="I315" s="126"/>
      <c r="J315" s="126"/>
      <c r="K315" s="126"/>
      <c r="L315" s="126"/>
      <c r="M315" s="126"/>
      <c r="N315" s="126"/>
      <c r="O315" s="126"/>
      <c r="P315" s="126"/>
      <c r="Q315" s="133"/>
    </row>
    <row r="316" spans="6:17">
      <c r="F316" s="126"/>
      <c r="G316" s="126"/>
      <c r="H316" s="126"/>
      <c r="I316" s="126"/>
      <c r="J316" s="126"/>
      <c r="K316" s="126"/>
      <c r="L316" s="126"/>
      <c r="M316" s="126"/>
      <c r="N316" s="126"/>
      <c r="O316" s="126"/>
      <c r="P316" s="126"/>
      <c r="Q316" s="133"/>
    </row>
    <row r="317" spans="6:17">
      <c r="F317" s="126"/>
      <c r="G317" s="126"/>
      <c r="H317" s="126"/>
      <c r="I317" s="126"/>
      <c r="J317" s="126"/>
      <c r="K317" s="126"/>
      <c r="L317" s="126"/>
      <c r="M317" s="126"/>
      <c r="N317" s="126"/>
      <c r="O317" s="126"/>
      <c r="P317" s="126"/>
      <c r="Q317" s="133"/>
    </row>
    <row r="318" spans="6:17">
      <c r="F318" s="126"/>
      <c r="G318" s="126"/>
      <c r="H318" s="126"/>
      <c r="I318" s="126"/>
      <c r="J318" s="126"/>
      <c r="K318" s="126"/>
      <c r="L318" s="126"/>
      <c r="M318" s="126"/>
      <c r="N318" s="126"/>
      <c r="O318" s="126"/>
      <c r="P318" s="126"/>
      <c r="Q318" s="133"/>
    </row>
    <row r="319" spans="6:17">
      <c r="F319" s="126"/>
      <c r="G319" s="126"/>
      <c r="H319" s="126"/>
      <c r="I319" s="126"/>
      <c r="J319" s="126"/>
      <c r="K319" s="126"/>
      <c r="L319" s="126"/>
      <c r="M319" s="126"/>
      <c r="N319" s="126"/>
      <c r="O319" s="126"/>
      <c r="P319" s="126"/>
      <c r="Q319" s="133"/>
    </row>
    <row r="320" spans="6:17">
      <c r="F320" s="126"/>
      <c r="G320" s="126"/>
      <c r="H320" s="126"/>
      <c r="I320" s="126"/>
      <c r="J320" s="126"/>
      <c r="K320" s="126"/>
      <c r="L320" s="126"/>
      <c r="M320" s="126"/>
      <c r="N320" s="126"/>
      <c r="O320" s="126"/>
      <c r="P320" s="126"/>
      <c r="Q320" s="133"/>
    </row>
    <row r="321" spans="6:17">
      <c r="F321" s="126"/>
      <c r="G321" s="126"/>
      <c r="H321" s="126"/>
      <c r="I321" s="126"/>
      <c r="J321" s="126"/>
      <c r="K321" s="126"/>
      <c r="L321" s="126"/>
      <c r="M321" s="126"/>
      <c r="N321" s="126"/>
      <c r="O321" s="126"/>
      <c r="P321" s="126"/>
      <c r="Q321" s="133"/>
    </row>
    <row r="322" spans="6:17">
      <c r="F322" s="126"/>
      <c r="G322" s="126"/>
      <c r="H322" s="126"/>
      <c r="I322" s="126"/>
      <c r="J322" s="126"/>
      <c r="K322" s="126"/>
      <c r="L322" s="126"/>
      <c r="M322" s="126"/>
      <c r="N322" s="126"/>
      <c r="O322" s="126"/>
      <c r="P322" s="126"/>
      <c r="Q322" s="133"/>
    </row>
    <row r="323" spans="6:17">
      <c r="F323" s="126"/>
      <c r="G323" s="126"/>
      <c r="H323" s="126"/>
      <c r="I323" s="126"/>
      <c r="J323" s="126"/>
      <c r="K323" s="126"/>
      <c r="L323" s="126"/>
      <c r="M323" s="126"/>
      <c r="N323" s="126"/>
      <c r="O323" s="126"/>
      <c r="P323" s="126"/>
      <c r="Q323" s="133"/>
    </row>
    <row r="324" spans="6:17">
      <c r="F324" s="126"/>
      <c r="G324" s="126"/>
      <c r="H324" s="126"/>
      <c r="I324" s="126"/>
      <c r="J324" s="126"/>
      <c r="K324" s="126"/>
      <c r="L324" s="126"/>
      <c r="M324" s="126"/>
      <c r="N324" s="126"/>
      <c r="O324" s="126"/>
      <c r="P324" s="126"/>
      <c r="Q324" s="133"/>
    </row>
    <row r="325" spans="6:17">
      <c r="F325" s="126"/>
      <c r="G325" s="126"/>
      <c r="H325" s="126"/>
      <c r="I325" s="126"/>
      <c r="J325" s="126"/>
      <c r="K325" s="126"/>
      <c r="L325" s="126"/>
      <c r="M325" s="126"/>
      <c r="N325" s="126"/>
      <c r="O325" s="126"/>
      <c r="P325" s="126"/>
      <c r="Q325" s="133"/>
    </row>
    <row r="326" spans="6:17">
      <c r="F326" s="126"/>
      <c r="G326" s="126"/>
      <c r="H326" s="126"/>
      <c r="I326" s="126"/>
      <c r="J326" s="126"/>
      <c r="K326" s="126"/>
      <c r="L326" s="126"/>
      <c r="M326" s="126"/>
      <c r="N326" s="126"/>
      <c r="O326" s="126"/>
      <c r="P326" s="126"/>
      <c r="Q326" s="133"/>
    </row>
    <row r="327" spans="6:17">
      <c r="F327" s="126"/>
      <c r="G327" s="126"/>
      <c r="H327" s="126"/>
      <c r="I327" s="126"/>
      <c r="J327" s="126"/>
      <c r="K327" s="126"/>
      <c r="L327" s="126"/>
      <c r="M327" s="126"/>
      <c r="N327" s="126"/>
      <c r="O327" s="126"/>
      <c r="P327" s="126"/>
      <c r="Q327" s="133"/>
    </row>
    <row r="328" spans="6:17">
      <c r="F328" s="126"/>
      <c r="G328" s="126"/>
      <c r="H328" s="126"/>
      <c r="I328" s="126"/>
      <c r="J328" s="126"/>
      <c r="K328" s="126"/>
      <c r="L328" s="126"/>
      <c r="M328" s="126"/>
      <c r="N328" s="126"/>
      <c r="O328" s="126"/>
      <c r="P328" s="126"/>
      <c r="Q328" s="133"/>
    </row>
    <row r="329" spans="6:17">
      <c r="F329" s="126"/>
      <c r="G329" s="126"/>
      <c r="H329" s="126"/>
      <c r="I329" s="126"/>
      <c r="J329" s="126"/>
      <c r="K329" s="126"/>
      <c r="L329" s="126"/>
      <c r="M329" s="126"/>
      <c r="N329" s="126"/>
      <c r="O329" s="126"/>
      <c r="P329" s="126"/>
      <c r="Q329" s="133"/>
    </row>
    <row r="330" spans="6:17">
      <c r="F330" s="126"/>
      <c r="G330" s="126"/>
      <c r="H330" s="126"/>
      <c r="I330" s="126"/>
      <c r="J330" s="126"/>
      <c r="K330" s="126"/>
      <c r="L330" s="126"/>
      <c r="M330" s="126"/>
      <c r="N330" s="126"/>
      <c r="O330" s="126"/>
      <c r="P330" s="126"/>
      <c r="Q330" s="133"/>
    </row>
    <row r="331" spans="6:17">
      <c r="F331" s="126"/>
      <c r="G331" s="126"/>
      <c r="H331" s="126"/>
      <c r="I331" s="126"/>
      <c r="J331" s="126"/>
      <c r="K331" s="126"/>
      <c r="L331" s="126"/>
      <c r="M331" s="126"/>
      <c r="N331" s="126"/>
      <c r="O331" s="126"/>
      <c r="P331" s="126"/>
      <c r="Q331" s="133"/>
    </row>
    <row r="332" spans="6:17">
      <c r="F332" s="126"/>
      <c r="G332" s="126"/>
      <c r="H332" s="126"/>
      <c r="I332" s="126"/>
      <c r="J332" s="126"/>
      <c r="K332" s="126"/>
      <c r="L332" s="126"/>
      <c r="M332" s="126"/>
      <c r="N332" s="126"/>
      <c r="O332" s="126"/>
      <c r="P332" s="126"/>
      <c r="Q332" s="133"/>
    </row>
    <row r="333" spans="6:17">
      <c r="F333" s="126"/>
      <c r="G333" s="126"/>
      <c r="H333" s="126"/>
      <c r="I333" s="126"/>
      <c r="J333" s="126"/>
      <c r="K333" s="126"/>
      <c r="L333" s="126"/>
      <c r="M333" s="126"/>
      <c r="N333" s="126"/>
      <c r="O333" s="126"/>
      <c r="P333" s="126"/>
      <c r="Q333" s="133"/>
    </row>
    <row r="334" spans="6:17">
      <c r="F334" s="126"/>
      <c r="G334" s="126"/>
      <c r="H334" s="126"/>
      <c r="I334" s="126"/>
      <c r="J334" s="126"/>
      <c r="K334" s="126"/>
      <c r="L334" s="126"/>
      <c r="M334" s="126"/>
      <c r="N334" s="126"/>
      <c r="O334" s="126"/>
      <c r="P334" s="126"/>
      <c r="Q334" s="133"/>
    </row>
    <row r="335" spans="6:17">
      <c r="F335" s="126"/>
      <c r="G335" s="126"/>
      <c r="H335" s="126"/>
      <c r="I335" s="126"/>
      <c r="J335" s="126"/>
      <c r="K335" s="126"/>
      <c r="L335" s="126"/>
      <c r="M335" s="126"/>
      <c r="N335" s="126"/>
      <c r="O335" s="126"/>
      <c r="P335" s="126"/>
      <c r="Q335" s="133"/>
    </row>
    <row r="336" spans="6:17">
      <c r="F336" s="126"/>
      <c r="G336" s="126"/>
      <c r="H336" s="126"/>
      <c r="I336" s="126"/>
      <c r="J336" s="126"/>
      <c r="K336" s="126"/>
      <c r="L336" s="126"/>
      <c r="M336" s="126"/>
      <c r="N336" s="126"/>
      <c r="O336" s="126"/>
      <c r="P336" s="126"/>
      <c r="Q336" s="133"/>
    </row>
    <row r="337" spans="6:17">
      <c r="F337" s="126"/>
      <c r="G337" s="126"/>
      <c r="H337" s="126"/>
      <c r="I337" s="126"/>
      <c r="J337" s="126"/>
      <c r="K337" s="126"/>
      <c r="L337" s="126"/>
      <c r="M337" s="126"/>
      <c r="N337" s="126"/>
      <c r="O337" s="126"/>
      <c r="P337" s="126"/>
      <c r="Q337" s="133"/>
    </row>
    <row r="338" spans="6:17">
      <c r="F338" s="126"/>
      <c r="G338" s="126"/>
      <c r="H338" s="126"/>
      <c r="I338" s="126"/>
      <c r="J338" s="126"/>
      <c r="K338" s="126"/>
      <c r="L338" s="126"/>
      <c r="M338" s="126"/>
      <c r="N338" s="126"/>
      <c r="O338" s="126"/>
      <c r="P338" s="126"/>
      <c r="Q338" s="133"/>
    </row>
    <row r="339" spans="6:17">
      <c r="F339" s="126"/>
      <c r="G339" s="126"/>
      <c r="H339" s="126"/>
      <c r="I339" s="126"/>
      <c r="J339" s="126"/>
      <c r="K339" s="126"/>
      <c r="L339" s="126"/>
      <c r="M339" s="126"/>
      <c r="N339" s="126"/>
      <c r="O339" s="126"/>
      <c r="P339" s="126"/>
      <c r="Q339" s="133"/>
    </row>
    <row r="340" spans="6:17">
      <c r="F340" s="126"/>
      <c r="G340" s="126"/>
      <c r="H340" s="126"/>
      <c r="I340" s="126"/>
      <c r="J340" s="126"/>
      <c r="K340" s="126"/>
      <c r="L340" s="126"/>
      <c r="M340" s="126"/>
      <c r="N340" s="126"/>
      <c r="O340" s="126"/>
      <c r="P340" s="126"/>
      <c r="Q340" s="133"/>
    </row>
    <row r="341" spans="6:17">
      <c r="F341" s="126"/>
      <c r="G341" s="126"/>
      <c r="H341" s="126"/>
      <c r="I341" s="126"/>
      <c r="J341" s="126"/>
      <c r="K341" s="126"/>
      <c r="L341" s="126"/>
      <c r="M341" s="126"/>
      <c r="N341" s="126"/>
      <c r="O341" s="126"/>
      <c r="P341" s="126"/>
      <c r="Q341" s="133"/>
    </row>
    <row r="342" spans="6:17">
      <c r="F342" s="126"/>
      <c r="G342" s="126"/>
      <c r="H342" s="126"/>
      <c r="I342" s="126"/>
      <c r="J342" s="126"/>
      <c r="K342" s="126"/>
      <c r="L342" s="126"/>
      <c r="M342" s="126"/>
      <c r="N342" s="126"/>
      <c r="O342" s="126"/>
      <c r="P342" s="126"/>
      <c r="Q342" s="133"/>
    </row>
    <row r="343" spans="6:17">
      <c r="F343" s="126"/>
      <c r="G343" s="126"/>
      <c r="H343" s="126"/>
      <c r="I343" s="126"/>
      <c r="J343" s="126"/>
      <c r="K343" s="126"/>
      <c r="L343" s="126"/>
      <c r="M343" s="126"/>
      <c r="N343" s="126"/>
      <c r="O343" s="126"/>
      <c r="P343" s="126"/>
      <c r="Q343" s="133"/>
    </row>
    <row r="344" spans="6:17">
      <c r="F344" s="126"/>
      <c r="G344" s="126"/>
      <c r="H344" s="126"/>
      <c r="I344" s="126"/>
      <c r="J344" s="126"/>
      <c r="K344" s="126"/>
      <c r="L344" s="126"/>
      <c r="M344" s="126"/>
      <c r="N344" s="126"/>
      <c r="O344" s="126"/>
      <c r="P344" s="126"/>
      <c r="Q344" s="133"/>
    </row>
    <row r="345" spans="6:17">
      <c r="F345" s="126"/>
      <c r="G345" s="126"/>
      <c r="H345" s="126"/>
      <c r="I345" s="126"/>
      <c r="J345" s="126"/>
      <c r="K345" s="126"/>
      <c r="L345" s="126"/>
      <c r="M345" s="126"/>
      <c r="N345" s="126"/>
      <c r="O345" s="126"/>
      <c r="P345" s="126"/>
      <c r="Q345" s="133"/>
    </row>
    <row r="346" spans="6:17">
      <c r="F346" s="126"/>
      <c r="G346" s="126"/>
      <c r="H346" s="126"/>
      <c r="I346" s="126"/>
      <c r="J346" s="126"/>
      <c r="K346" s="126"/>
      <c r="L346" s="126"/>
      <c r="M346" s="126"/>
      <c r="N346" s="126"/>
      <c r="O346" s="126"/>
      <c r="P346" s="126"/>
      <c r="Q346" s="133"/>
    </row>
    <row r="347" spans="6:17">
      <c r="F347" s="126"/>
      <c r="G347" s="126"/>
      <c r="H347" s="126"/>
      <c r="I347" s="126"/>
      <c r="J347" s="126"/>
      <c r="K347" s="126"/>
      <c r="L347" s="126"/>
      <c r="M347" s="126"/>
      <c r="N347" s="126"/>
      <c r="O347" s="126"/>
      <c r="P347" s="126"/>
      <c r="Q347" s="133"/>
    </row>
    <row r="348" spans="6:17">
      <c r="F348" s="126"/>
      <c r="G348" s="126"/>
      <c r="H348" s="126"/>
      <c r="I348" s="126"/>
      <c r="J348" s="126"/>
      <c r="K348" s="126"/>
      <c r="L348" s="126"/>
      <c r="M348" s="126"/>
      <c r="N348" s="126"/>
      <c r="O348" s="126"/>
      <c r="P348" s="126"/>
      <c r="Q348" s="133"/>
    </row>
    <row r="349" spans="6:17">
      <c r="F349" s="126"/>
      <c r="G349" s="126"/>
      <c r="H349" s="126"/>
      <c r="I349" s="126"/>
      <c r="J349" s="126"/>
      <c r="K349" s="126"/>
      <c r="L349" s="126"/>
      <c r="M349" s="126"/>
      <c r="N349" s="126"/>
      <c r="O349" s="126"/>
      <c r="P349" s="126"/>
      <c r="Q349" s="133"/>
    </row>
    <row r="350" spans="6:17">
      <c r="F350" s="126"/>
      <c r="G350" s="126"/>
      <c r="H350" s="126"/>
      <c r="I350" s="126"/>
      <c r="J350" s="126"/>
      <c r="K350" s="126"/>
      <c r="L350" s="126"/>
      <c r="M350" s="126"/>
      <c r="N350" s="126"/>
      <c r="O350" s="126"/>
      <c r="P350" s="126"/>
      <c r="Q350" s="133"/>
    </row>
    <row r="351" spans="6:17">
      <c r="F351" s="126"/>
      <c r="G351" s="126"/>
      <c r="H351" s="126"/>
      <c r="I351" s="126"/>
      <c r="J351" s="126"/>
      <c r="K351" s="126"/>
      <c r="L351" s="126"/>
      <c r="M351" s="126"/>
      <c r="N351" s="126"/>
      <c r="O351" s="126"/>
      <c r="P351" s="126"/>
      <c r="Q351" s="133"/>
    </row>
    <row r="352" spans="6:17">
      <c r="F352" s="126"/>
      <c r="G352" s="126"/>
      <c r="H352" s="126"/>
      <c r="I352" s="126"/>
      <c r="J352" s="126"/>
      <c r="K352" s="126"/>
      <c r="L352" s="126"/>
      <c r="M352" s="126"/>
      <c r="N352" s="126"/>
      <c r="O352" s="126"/>
      <c r="P352" s="126"/>
      <c r="Q352" s="133"/>
    </row>
    <row r="353" spans="6:17">
      <c r="F353" s="126"/>
      <c r="G353" s="126"/>
      <c r="H353" s="126"/>
      <c r="I353" s="126"/>
      <c r="J353" s="126"/>
      <c r="K353" s="126"/>
      <c r="L353" s="126"/>
      <c r="M353" s="126"/>
      <c r="N353" s="126"/>
      <c r="O353" s="126"/>
      <c r="P353" s="126"/>
      <c r="Q353" s="133"/>
    </row>
    <row r="354" spans="6:17">
      <c r="F354" s="126"/>
      <c r="G354" s="126"/>
      <c r="H354" s="126"/>
      <c r="I354" s="126"/>
      <c r="J354" s="126"/>
      <c r="K354" s="126"/>
      <c r="L354" s="126"/>
      <c r="M354" s="126"/>
      <c r="N354" s="126"/>
      <c r="O354" s="126"/>
      <c r="P354" s="126"/>
      <c r="Q354" s="133"/>
    </row>
    <row r="355" spans="6:17">
      <c r="F355" s="126"/>
      <c r="G355" s="126"/>
      <c r="H355" s="126"/>
      <c r="I355" s="126"/>
      <c r="J355" s="126"/>
      <c r="K355" s="126"/>
      <c r="L355" s="126"/>
      <c r="M355" s="126"/>
      <c r="N355" s="126"/>
      <c r="O355" s="126"/>
      <c r="P355" s="126"/>
      <c r="Q355" s="133"/>
    </row>
    <row r="356" spans="6:17">
      <c r="F356" s="126"/>
      <c r="G356" s="126"/>
      <c r="H356" s="126"/>
      <c r="I356" s="126"/>
      <c r="J356" s="126"/>
      <c r="K356" s="126"/>
      <c r="L356" s="126"/>
      <c r="M356" s="126"/>
      <c r="N356" s="126"/>
      <c r="O356" s="126"/>
      <c r="P356" s="126"/>
      <c r="Q356" s="133"/>
    </row>
    <row r="357" spans="6:17">
      <c r="F357" s="126"/>
      <c r="G357" s="126"/>
      <c r="H357" s="126"/>
      <c r="I357" s="126"/>
      <c r="J357" s="126"/>
      <c r="K357" s="126"/>
      <c r="L357" s="126"/>
      <c r="M357" s="126"/>
      <c r="N357" s="126"/>
      <c r="O357" s="126"/>
      <c r="P357" s="126"/>
      <c r="Q357" s="133"/>
    </row>
    <row r="358" spans="6:17">
      <c r="F358" s="126"/>
      <c r="G358" s="126"/>
      <c r="H358" s="126"/>
      <c r="I358" s="126"/>
      <c r="J358" s="126"/>
      <c r="K358" s="126"/>
      <c r="L358" s="126"/>
      <c r="M358" s="126"/>
      <c r="N358" s="126"/>
      <c r="O358" s="126"/>
      <c r="P358" s="126"/>
      <c r="Q358" s="133"/>
    </row>
    <row r="359" spans="6:17">
      <c r="F359" s="126"/>
      <c r="G359" s="126"/>
      <c r="H359" s="126"/>
      <c r="I359" s="126"/>
      <c r="J359" s="126"/>
      <c r="K359" s="126"/>
      <c r="L359" s="126"/>
      <c r="M359" s="126"/>
      <c r="N359" s="126"/>
      <c r="O359" s="126"/>
      <c r="P359" s="126"/>
      <c r="Q359" s="133"/>
    </row>
    <row r="360" spans="6:17">
      <c r="F360" s="126"/>
      <c r="G360" s="126"/>
      <c r="H360" s="126"/>
      <c r="I360" s="126"/>
      <c r="J360" s="126"/>
      <c r="K360" s="126"/>
      <c r="L360" s="126"/>
      <c r="M360" s="126"/>
      <c r="N360" s="126"/>
      <c r="O360" s="126"/>
      <c r="P360" s="126"/>
      <c r="Q360" s="133"/>
    </row>
    <row r="361" spans="6:17">
      <c r="F361" s="126"/>
      <c r="G361" s="126"/>
      <c r="H361" s="126"/>
      <c r="I361" s="126"/>
      <c r="J361" s="126"/>
      <c r="K361" s="126"/>
      <c r="L361" s="126"/>
      <c r="M361" s="126"/>
      <c r="N361" s="126"/>
      <c r="O361" s="126"/>
      <c r="P361" s="126"/>
      <c r="Q361" s="133"/>
    </row>
    <row r="362" spans="6:17">
      <c r="F362" s="126"/>
      <c r="G362" s="126"/>
      <c r="H362" s="126"/>
      <c r="I362" s="126"/>
      <c r="J362" s="126"/>
      <c r="K362" s="126"/>
      <c r="L362" s="126"/>
      <c r="M362" s="126"/>
      <c r="N362" s="126"/>
      <c r="O362" s="126"/>
      <c r="P362" s="126"/>
      <c r="Q362" s="133"/>
    </row>
    <row r="363" spans="6:17">
      <c r="F363" s="126"/>
      <c r="G363" s="126"/>
      <c r="H363" s="126"/>
      <c r="I363" s="126"/>
      <c r="J363" s="126"/>
      <c r="K363" s="126"/>
      <c r="L363" s="126"/>
      <c r="M363" s="126"/>
      <c r="N363" s="126"/>
      <c r="O363" s="126"/>
      <c r="P363" s="126"/>
      <c r="Q363" s="133"/>
    </row>
    <row r="364" spans="6:17">
      <c r="F364" s="126"/>
      <c r="G364" s="126"/>
      <c r="H364" s="126"/>
      <c r="I364" s="126"/>
      <c r="J364" s="126"/>
      <c r="K364" s="126"/>
      <c r="L364" s="126"/>
      <c r="M364" s="126"/>
      <c r="N364" s="126"/>
      <c r="O364" s="126"/>
      <c r="P364" s="126"/>
      <c r="Q364" s="133"/>
    </row>
    <row r="365" spans="6:17">
      <c r="F365" s="126"/>
      <c r="G365" s="126"/>
      <c r="H365" s="126"/>
      <c r="I365" s="126"/>
      <c r="J365" s="126"/>
      <c r="K365" s="126"/>
      <c r="L365" s="126"/>
      <c r="M365" s="126"/>
      <c r="N365" s="126"/>
      <c r="O365" s="126"/>
      <c r="P365" s="126"/>
      <c r="Q365" s="133"/>
    </row>
    <row r="366" spans="6:17">
      <c r="F366" s="126"/>
      <c r="G366" s="126"/>
      <c r="H366" s="126"/>
      <c r="I366" s="126"/>
      <c r="J366" s="126"/>
      <c r="K366" s="126"/>
      <c r="L366" s="126"/>
      <c r="M366" s="126"/>
      <c r="N366" s="126"/>
      <c r="O366" s="126"/>
      <c r="P366" s="126"/>
      <c r="Q366" s="133"/>
    </row>
    <row r="367" spans="6:17">
      <c r="F367" s="126"/>
      <c r="G367" s="126"/>
      <c r="H367" s="126"/>
      <c r="I367" s="126"/>
      <c r="J367" s="126"/>
      <c r="K367" s="126"/>
      <c r="L367" s="126"/>
      <c r="M367" s="126"/>
      <c r="N367" s="126"/>
      <c r="O367" s="126"/>
      <c r="P367" s="126"/>
      <c r="Q367" s="133"/>
    </row>
    <row r="368" spans="6:17">
      <c r="F368" s="126"/>
      <c r="G368" s="126"/>
      <c r="H368" s="126"/>
      <c r="I368" s="126"/>
      <c r="J368" s="126"/>
      <c r="K368" s="126"/>
      <c r="L368" s="126"/>
      <c r="M368" s="126"/>
      <c r="N368" s="126"/>
      <c r="O368" s="126"/>
      <c r="P368" s="126"/>
      <c r="Q368" s="133"/>
    </row>
    <row r="369" spans="6:17">
      <c r="F369" s="126"/>
      <c r="G369" s="126"/>
      <c r="H369" s="126"/>
      <c r="I369" s="126"/>
      <c r="J369" s="126"/>
      <c r="K369" s="126"/>
      <c r="L369" s="126"/>
      <c r="M369" s="126"/>
      <c r="N369" s="126"/>
      <c r="O369" s="126"/>
      <c r="P369" s="126"/>
      <c r="Q369" s="133"/>
    </row>
    <row r="370" spans="6:17">
      <c r="F370" s="126"/>
      <c r="G370" s="126"/>
      <c r="H370" s="126"/>
      <c r="I370" s="126"/>
      <c r="J370" s="126"/>
      <c r="K370" s="126"/>
      <c r="L370" s="126"/>
      <c r="M370" s="126"/>
      <c r="N370" s="126"/>
      <c r="O370" s="126"/>
      <c r="P370" s="126"/>
      <c r="Q370" s="133"/>
    </row>
    <row r="371" spans="6:17">
      <c r="F371" s="126"/>
      <c r="G371" s="126"/>
      <c r="H371" s="126"/>
      <c r="I371" s="126"/>
      <c r="J371" s="126"/>
      <c r="K371" s="126"/>
      <c r="L371" s="126"/>
      <c r="M371" s="126"/>
      <c r="N371" s="126"/>
      <c r="O371" s="126"/>
      <c r="P371" s="126"/>
      <c r="Q371" s="133"/>
    </row>
    <row r="372" spans="6:17">
      <c r="F372" s="126"/>
      <c r="G372" s="126"/>
      <c r="H372" s="126"/>
      <c r="I372" s="126"/>
      <c r="J372" s="126"/>
      <c r="K372" s="126"/>
      <c r="L372" s="126"/>
      <c r="M372" s="126"/>
      <c r="N372" s="126"/>
      <c r="O372" s="126"/>
      <c r="P372" s="126"/>
      <c r="Q372" s="133"/>
    </row>
    <row r="373" spans="6:17">
      <c r="F373" s="126"/>
      <c r="G373" s="126"/>
      <c r="H373" s="126"/>
      <c r="I373" s="126"/>
      <c r="J373" s="126"/>
      <c r="K373" s="126"/>
      <c r="L373" s="126"/>
      <c r="M373" s="126"/>
      <c r="N373" s="126"/>
      <c r="O373" s="126"/>
      <c r="P373" s="126"/>
      <c r="Q373" s="133"/>
    </row>
    <row r="374" spans="6:17">
      <c r="F374" s="126"/>
      <c r="G374" s="126"/>
      <c r="H374" s="126"/>
      <c r="I374" s="126"/>
      <c r="J374" s="126"/>
      <c r="K374" s="126"/>
      <c r="L374" s="126"/>
      <c r="M374" s="126"/>
      <c r="N374" s="126"/>
      <c r="O374" s="126"/>
      <c r="P374" s="126"/>
      <c r="Q374" s="133"/>
    </row>
    <row r="375" spans="6:17">
      <c r="F375" s="126"/>
      <c r="G375" s="126"/>
      <c r="H375" s="126"/>
      <c r="I375" s="126"/>
      <c r="J375" s="126"/>
      <c r="K375" s="126"/>
      <c r="L375" s="126"/>
      <c r="M375" s="126"/>
      <c r="N375" s="126"/>
      <c r="O375" s="126"/>
      <c r="P375" s="126"/>
      <c r="Q375" s="133"/>
    </row>
    <row r="376" spans="6:17">
      <c r="F376" s="126"/>
      <c r="G376" s="126"/>
      <c r="H376" s="126"/>
      <c r="I376" s="126"/>
      <c r="J376" s="126"/>
      <c r="K376" s="126"/>
      <c r="L376" s="126"/>
      <c r="M376" s="126"/>
      <c r="N376" s="126"/>
      <c r="O376" s="126"/>
      <c r="P376" s="126"/>
      <c r="Q376" s="133"/>
    </row>
    <row r="377" spans="6:17">
      <c r="F377" s="126"/>
      <c r="G377" s="126"/>
      <c r="H377" s="126"/>
      <c r="I377" s="126"/>
      <c r="J377" s="126"/>
      <c r="K377" s="126"/>
      <c r="L377" s="126"/>
      <c r="M377" s="126"/>
      <c r="N377" s="126"/>
      <c r="O377" s="126"/>
      <c r="P377" s="126"/>
      <c r="Q377" s="133"/>
    </row>
    <row r="378" spans="6:17">
      <c r="F378" s="126"/>
      <c r="G378" s="126"/>
      <c r="H378" s="126"/>
      <c r="I378" s="126"/>
      <c r="J378" s="126"/>
      <c r="K378" s="126"/>
      <c r="L378" s="126"/>
      <c r="M378" s="126"/>
      <c r="N378" s="126"/>
      <c r="O378" s="126"/>
      <c r="P378" s="126"/>
      <c r="Q378" s="133"/>
    </row>
    <row r="379" spans="6:17">
      <c r="F379" s="126"/>
      <c r="G379" s="126"/>
      <c r="H379" s="126"/>
      <c r="I379" s="126"/>
      <c r="J379" s="126"/>
      <c r="K379" s="126"/>
      <c r="L379" s="126"/>
      <c r="M379" s="126"/>
      <c r="N379" s="126"/>
      <c r="O379" s="126"/>
      <c r="P379" s="126"/>
      <c r="Q379" s="133"/>
    </row>
    <row r="380" spans="6:17">
      <c r="F380" s="126"/>
      <c r="G380" s="126"/>
      <c r="H380" s="126"/>
      <c r="I380" s="126"/>
      <c r="J380" s="126"/>
      <c r="K380" s="126"/>
      <c r="L380" s="126"/>
      <c r="M380" s="126"/>
      <c r="N380" s="126"/>
      <c r="O380" s="126"/>
      <c r="P380" s="126"/>
      <c r="Q380" s="133"/>
    </row>
    <row r="381" spans="6:17">
      <c r="F381" s="126"/>
      <c r="G381" s="126"/>
      <c r="H381" s="126"/>
      <c r="I381" s="126"/>
      <c r="J381" s="126"/>
      <c r="K381" s="126"/>
      <c r="L381" s="126"/>
      <c r="M381" s="126"/>
      <c r="N381" s="126"/>
      <c r="O381" s="126"/>
      <c r="P381" s="126"/>
      <c r="Q381" s="133"/>
    </row>
    <row r="382" spans="6:17">
      <c r="F382" s="126"/>
      <c r="G382" s="126"/>
      <c r="H382" s="126"/>
      <c r="I382" s="126"/>
      <c r="J382" s="126"/>
      <c r="K382" s="126"/>
      <c r="L382" s="126"/>
      <c r="M382" s="126"/>
      <c r="N382" s="126"/>
      <c r="O382" s="126"/>
      <c r="P382" s="126"/>
      <c r="Q382" s="133"/>
    </row>
    <row r="383" spans="6:17">
      <c r="F383" s="126"/>
      <c r="G383" s="126"/>
      <c r="H383" s="126"/>
      <c r="I383" s="126"/>
      <c r="J383" s="126"/>
      <c r="K383" s="126"/>
      <c r="L383" s="126"/>
      <c r="M383" s="126"/>
      <c r="N383" s="126"/>
      <c r="O383" s="126"/>
      <c r="P383" s="126"/>
      <c r="Q383" s="133"/>
    </row>
    <row r="384" spans="6:17">
      <c r="F384" s="126"/>
      <c r="G384" s="126"/>
      <c r="H384" s="126"/>
      <c r="I384" s="126"/>
      <c r="J384" s="126"/>
      <c r="K384" s="126"/>
      <c r="L384" s="126"/>
      <c r="M384" s="126"/>
      <c r="N384" s="126"/>
      <c r="O384" s="126"/>
      <c r="P384" s="126"/>
      <c r="Q384" s="133"/>
    </row>
    <row r="385" spans="6:17">
      <c r="F385" s="126"/>
      <c r="G385" s="126"/>
      <c r="H385" s="126"/>
      <c r="I385" s="126"/>
      <c r="J385" s="126"/>
      <c r="K385" s="126"/>
      <c r="L385" s="126"/>
      <c r="M385" s="126"/>
      <c r="N385" s="126"/>
      <c r="O385" s="126"/>
      <c r="P385" s="126"/>
      <c r="Q385" s="133"/>
    </row>
    <row r="386" spans="6:17">
      <c r="F386" s="126"/>
      <c r="G386" s="126"/>
      <c r="H386" s="126"/>
      <c r="I386" s="126"/>
      <c r="J386" s="126"/>
      <c r="K386" s="126"/>
      <c r="L386" s="126"/>
      <c r="M386" s="126"/>
      <c r="N386" s="126"/>
      <c r="O386" s="126"/>
      <c r="P386" s="126"/>
      <c r="Q386" s="133"/>
    </row>
    <row r="387" spans="6:17">
      <c r="F387" s="126"/>
      <c r="G387" s="126"/>
      <c r="H387" s="126"/>
      <c r="I387" s="126"/>
      <c r="J387" s="126"/>
      <c r="K387" s="126"/>
      <c r="L387" s="126"/>
      <c r="M387" s="126"/>
      <c r="N387" s="126"/>
      <c r="O387" s="126"/>
      <c r="P387" s="126"/>
      <c r="Q387" s="133"/>
    </row>
    <row r="388" spans="6:17">
      <c r="F388" s="126"/>
      <c r="G388" s="126"/>
      <c r="H388" s="126"/>
      <c r="I388" s="126"/>
      <c r="J388" s="126"/>
      <c r="K388" s="126"/>
      <c r="L388" s="126"/>
      <c r="M388" s="126"/>
      <c r="N388" s="126"/>
      <c r="O388" s="126"/>
      <c r="P388" s="126"/>
      <c r="Q388" s="133"/>
    </row>
    <row r="389" spans="6:17">
      <c r="F389" s="126"/>
      <c r="G389" s="126"/>
      <c r="H389" s="126"/>
      <c r="I389" s="126"/>
      <c r="J389" s="126"/>
      <c r="K389" s="126"/>
      <c r="L389" s="126"/>
      <c r="M389" s="126"/>
      <c r="N389" s="126"/>
      <c r="O389" s="126"/>
      <c r="P389" s="126"/>
      <c r="Q389" s="133"/>
    </row>
    <row r="390" spans="6:17">
      <c r="F390" s="126"/>
      <c r="G390" s="126"/>
      <c r="H390" s="126"/>
      <c r="I390" s="126"/>
      <c r="J390" s="126"/>
      <c r="K390" s="126"/>
      <c r="L390" s="126"/>
      <c r="M390" s="126"/>
      <c r="N390" s="126"/>
      <c r="O390" s="126"/>
      <c r="P390" s="126"/>
      <c r="Q390" s="133"/>
    </row>
    <row r="391" spans="6:17">
      <c r="F391" s="126"/>
      <c r="G391" s="126"/>
      <c r="H391" s="126"/>
      <c r="I391" s="126"/>
      <c r="J391" s="126"/>
      <c r="K391" s="126"/>
      <c r="L391" s="126"/>
      <c r="M391" s="126"/>
      <c r="N391" s="126"/>
      <c r="O391" s="126"/>
      <c r="P391" s="126"/>
      <c r="Q391" s="133"/>
    </row>
    <row r="392" spans="6:17">
      <c r="F392" s="126"/>
      <c r="G392" s="126"/>
      <c r="H392" s="126"/>
      <c r="I392" s="126"/>
      <c r="J392" s="126"/>
      <c r="K392" s="126"/>
      <c r="L392" s="126"/>
      <c r="M392" s="126"/>
      <c r="N392" s="126"/>
      <c r="O392" s="126"/>
      <c r="P392" s="126"/>
      <c r="Q392" s="133"/>
    </row>
    <row r="393" spans="6:17">
      <c r="F393" s="126"/>
      <c r="G393" s="126"/>
      <c r="H393" s="126"/>
      <c r="I393" s="126"/>
      <c r="J393" s="126"/>
      <c r="K393" s="126"/>
      <c r="L393" s="126"/>
      <c r="M393" s="126"/>
      <c r="N393" s="126"/>
      <c r="O393" s="126"/>
      <c r="P393" s="126"/>
      <c r="Q393" s="133"/>
    </row>
    <row r="394" spans="6:17">
      <c r="F394" s="126"/>
      <c r="G394" s="126"/>
      <c r="H394" s="126"/>
      <c r="I394" s="126"/>
      <c r="J394" s="126"/>
      <c r="K394" s="126"/>
      <c r="L394" s="126"/>
      <c r="M394" s="126"/>
      <c r="N394" s="126"/>
      <c r="O394" s="126"/>
      <c r="P394" s="126"/>
      <c r="Q394" s="133"/>
    </row>
    <row r="395" spans="6:17">
      <c r="F395" s="126"/>
      <c r="G395" s="126"/>
      <c r="H395" s="126"/>
      <c r="I395" s="126"/>
      <c r="J395" s="126"/>
      <c r="K395" s="126"/>
      <c r="L395" s="126"/>
      <c r="M395" s="126"/>
      <c r="N395" s="126"/>
      <c r="O395" s="126"/>
      <c r="P395" s="126"/>
      <c r="Q395" s="133"/>
    </row>
    <row r="396" spans="6:17">
      <c r="F396" s="126"/>
      <c r="G396" s="126"/>
      <c r="H396" s="126"/>
      <c r="I396" s="126"/>
      <c r="J396" s="126"/>
      <c r="K396" s="126"/>
      <c r="L396" s="126"/>
      <c r="M396" s="126"/>
      <c r="N396" s="126"/>
      <c r="O396" s="126"/>
      <c r="P396" s="126"/>
      <c r="Q396" s="133"/>
    </row>
    <row r="397" spans="6:17">
      <c r="F397" s="126"/>
      <c r="G397" s="126"/>
      <c r="H397" s="126"/>
      <c r="I397" s="126"/>
      <c r="J397" s="126"/>
      <c r="K397" s="126"/>
      <c r="L397" s="126"/>
      <c r="M397" s="126"/>
      <c r="N397" s="126"/>
      <c r="O397" s="126"/>
      <c r="P397" s="126"/>
      <c r="Q397" s="133"/>
    </row>
    <row r="398" spans="6:17">
      <c r="F398" s="126"/>
      <c r="G398" s="126"/>
      <c r="H398" s="126"/>
      <c r="I398" s="126"/>
      <c r="J398" s="126"/>
      <c r="K398" s="126"/>
      <c r="L398" s="126"/>
      <c r="M398" s="126"/>
      <c r="N398" s="126"/>
      <c r="O398" s="126"/>
      <c r="P398" s="126"/>
      <c r="Q398" s="133"/>
    </row>
    <row r="399" spans="6:17">
      <c r="F399" s="126"/>
      <c r="G399" s="126"/>
      <c r="H399" s="126"/>
      <c r="I399" s="126"/>
      <c r="J399" s="126"/>
      <c r="K399" s="126"/>
      <c r="L399" s="126"/>
      <c r="M399" s="126"/>
      <c r="N399" s="126"/>
      <c r="O399" s="126"/>
      <c r="P399" s="126"/>
      <c r="Q399" s="133"/>
    </row>
    <row r="400" spans="6:17">
      <c r="F400" s="126"/>
      <c r="G400" s="126"/>
      <c r="H400" s="126"/>
      <c r="I400" s="126"/>
      <c r="J400" s="126"/>
      <c r="K400" s="126"/>
      <c r="L400" s="126"/>
      <c r="M400" s="126"/>
      <c r="N400" s="126"/>
      <c r="O400" s="126"/>
      <c r="P400" s="126"/>
      <c r="Q400" s="133"/>
    </row>
    <row r="401" spans="6:17">
      <c r="F401" s="126"/>
      <c r="G401" s="126"/>
      <c r="H401" s="126"/>
      <c r="I401" s="126"/>
      <c r="J401" s="126"/>
      <c r="K401" s="126"/>
      <c r="L401" s="126"/>
      <c r="M401" s="126"/>
      <c r="N401" s="126"/>
      <c r="O401" s="126"/>
      <c r="P401" s="126"/>
      <c r="Q401" s="133"/>
    </row>
    <row r="402" spans="6:17">
      <c r="F402" s="126"/>
      <c r="G402" s="126"/>
      <c r="H402" s="126"/>
      <c r="I402" s="126"/>
      <c r="J402" s="126"/>
      <c r="K402" s="126"/>
      <c r="L402" s="126"/>
      <c r="M402" s="126"/>
      <c r="N402" s="126"/>
      <c r="O402" s="126"/>
      <c r="P402" s="126"/>
      <c r="Q402" s="133"/>
    </row>
    <row r="403" spans="6:17">
      <c r="F403" s="126"/>
      <c r="G403" s="126"/>
      <c r="H403" s="126"/>
      <c r="I403" s="126"/>
      <c r="J403" s="126"/>
      <c r="K403" s="126"/>
      <c r="L403" s="126"/>
      <c r="M403" s="126"/>
      <c r="N403" s="126"/>
      <c r="O403" s="126"/>
      <c r="P403" s="126"/>
      <c r="Q403" s="133"/>
    </row>
    <row r="404" spans="6:17">
      <c r="F404" s="126"/>
      <c r="G404" s="126"/>
      <c r="H404" s="126"/>
      <c r="I404" s="126"/>
      <c r="J404" s="126"/>
      <c r="K404" s="126"/>
      <c r="L404" s="126"/>
      <c r="M404" s="126"/>
      <c r="N404" s="126"/>
      <c r="O404" s="126"/>
      <c r="P404" s="126"/>
      <c r="Q404" s="133"/>
    </row>
    <row r="405" spans="6:17">
      <c r="F405" s="126"/>
      <c r="G405" s="126"/>
      <c r="H405" s="126"/>
      <c r="I405" s="126"/>
      <c r="J405" s="126"/>
      <c r="K405" s="126"/>
      <c r="L405" s="126"/>
      <c r="M405" s="126"/>
      <c r="N405" s="126"/>
      <c r="O405" s="126"/>
      <c r="P405" s="126"/>
      <c r="Q405" s="133"/>
    </row>
    <row r="406" spans="6:17">
      <c r="F406" s="126"/>
      <c r="G406" s="126"/>
      <c r="H406" s="126"/>
      <c r="I406" s="126"/>
      <c r="J406" s="126"/>
      <c r="K406" s="126"/>
      <c r="L406" s="126"/>
      <c r="M406" s="126"/>
      <c r="N406" s="126"/>
      <c r="O406" s="126"/>
      <c r="P406" s="126"/>
      <c r="Q406" s="133"/>
    </row>
    <row r="407" spans="6:17">
      <c r="F407" s="126"/>
      <c r="G407" s="126"/>
      <c r="H407" s="126"/>
      <c r="I407" s="126"/>
      <c r="J407" s="126"/>
      <c r="K407" s="126"/>
      <c r="L407" s="126"/>
      <c r="M407" s="126"/>
      <c r="N407" s="126"/>
      <c r="O407" s="126"/>
      <c r="P407" s="126"/>
      <c r="Q407" s="133"/>
    </row>
    <row r="408" spans="6:17">
      <c r="F408" s="126"/>
      <c r="G408" s="126"/>
      <c r="H408" s="126"/>
      <c r="I408" s="126"/>
      <c r="J408" s="126"/>
      <c r="K408" s="126"/>
      <c r="L408" s="126"/>
      <c r="M408" s="126"/>
      <c r="N408" s="126"/>
      <c r="O408" s="126"/>
      <c r="P408" s="126"/>
      <c r="Q408" s="133"/>
    </row>
    <row r="409" spans="6:17">
      <c r="F409" s="126"/>
      <c r="G409" s="126"/>
      <c r="H409" s="126"/>
      <c r="I409" s="126"/>
      <c r="J409" s="126"/>
      <c r="K409" s="126"/>
      <c r="L409" s="126"/>
      <c r="M409" s="126"/>
      <c r="N409" s="126"/>
      <c r="O409" s="126"/>
      <c r="P409" s="126"/>
      <c r="Q409" s="133"/>
    </row>
    <row r="410" spans="6:17">
      <c r="F410" s="126"/>
      <c r="G410" s="126"/>
      <c r="H410" s="126"/>
      <c r="I410" s="126"/>
      <c r="J410" s="126"/>
      <c r="K410" s="126"/>
      <c r="L410" s="126"/>
      <c r="M410" s="126"/>
      <c r="N410" s="126"/>
      <c r="O410" s="126"/>
      <c r="P410" s="126"/>
      <c r="Q410" s="133"/>
    </row>
    <row r="411" spans="6:17">
      <c r="F411" s="126"/>
      <c r="G411" s="126"/>
      <c r="H411" s="126"/>
      <c r="I411" s="126"/>
      <c r="J411" s="126"/>
      <c r="K411" s="126"/>
      <c r="L411" s="126"/>
      <c r="M411" s="126"/>
      <c r="N411" s="126"/>
      <c r="O411" s="126"/>
      <c r="P411" s="126"/>
      <c r="Q411" s="133"/>
    </row>
    <row r="412" spans="6:17">
      <c r="F412" s="126"/>
      <c r="G412" s="126"/>
      <c r="H412" s="126"/>
      <c r="I412" s="126"/>
      <c r="J412" s="126"/>
      <c r="K412" s="126"/>
      <c r="L412" s="126"/>
      <c r="M412" s="126"/>
      <c r="N412" s="126"/>
      <c r="O412" s="126"/>
      <c r="P412" s="126"/>
      <c r="Q412" s="133"/>
    </row>
    <row r="413" spans="6:17">
      <c r="F413" s="126"/>
      <c r="G413" s="126"/>
      <c r="H413" s="126"/>
      <c r="I413" s="126"/>
      <c r="J413" s="126"/>
      <c r="K413" s="126"/>
      <c r="L413" s="126"/>
      <c r="M413" s="126"/>
      <c r="N413" s="126"/>
      <c r="O413" s="126"/>
      <c r="P413" s="126"/>
      <c r="Q413" s="133"/>
    </row>
    <row r="414" spans="6:17">
      <c r="F414" s="126"/>
      <c r="G414" s="126"/>
      <c r="H414" s="126"/>
      <c r="I414" s="126"/>
      <c r="J414" s="126"/>
      <c r="K414" s="126"/>
      <c r="L414" s="126"/>
      <c r="M414" s="126"/>
      <c r="N414" s="126"/>
      <c r="O414" s="126"/>
      <c r="P414" s="126"/>
      <c r="Q414" s="133"/>
    </row>
    <row r="415" spans="6:17">
      <c r="F415" s="126"/>
      <c r="G415" s="126"/>
      <c r="H415" s="126"/>
      <c r="I415" s="126"/>
      <c r="J415" s="126"/>
      <c r="K415" s="126"/>
      <c r="L415" s="126"/>
      <c r="M415" s="126"/>
      <c r="N415" s="126"/>
      <c r="O415" s="126"/>
      <c r="P415" s="126"/>
      <c r="Q415" s="133"/>
    </row>
    <row r="416" spans="6:17">
      <c r="F416" s="126"/>
      <c r="G416" s="126"/>
      <c r="H416" s="126"/>
      <c r="I416" s="126"/>
      <c r="J416" s="126"/>
      <c r="K416" s="126"/>
      <c r="L416" s="126"/>
      <c r="M416" s="126"/>
      <c r="N416" s="126"/>
      <c r="O416" s="126"/>
      <c r="P416" s="126"/>
      <c r="Q416" s="133"/>
    </row>
    <row r="417" spans="6:17">
      <c r="F417" s="126"/>
      <c r="G417" s="126"/>
      <c r="H417" s="126"/>
      <c r="I417" s="126"/>
      <c r="J417" s="126"/>
      <c r="K417" s="126"/>
      <c r="L417" s="126"/>
      <c r="M417" s="126"/>
      <c r="N417" s="126"/>
      <c r="O417" s="126"/>
      <c r="P417" s="126"/>
      <c r="Q417" s="133"/>
    </row>
    <row r="418" spans="6:17">
      <c r="F418" s="126"/>
      <c r="G418" s="126"/>
      <c r="H418" s="126"/>
      <c r="I418" s="126"/>
      <c r="J418" s="126"/>
      <c r="K418" s="126"/>
      <c r="L418" s="126"/>
      <c r="M418" s="126"/>
      <c r="N418" s="126"/>
      <c r="O418" s="126"/>
      <c r="P418" s="126"/>
      <c r="Q418" s="133"/>
    </row>
    <row r="419" spans="6:17">
      <c r="F419" s="126"/>
      <c r="G419" s="126"/>
      <c r="H419" s="126"/>
      <c r="I419" s="126"/>
      <c r="J419" s="126"/>
      <c r="K419" s="126"/>
      <c r="L419" s="126"/>
      <c r="M419" s="126"/>
      <c r="N419" s="126"/>
      <c r="O419" s="126"/>
      <c r="P419" s="126"/>
      <c r="Q419" s="133"/>
    </row>
    <row r="420" spans="6:17">
      <c r="F420" s="126"/>
      <c r="G420" s="126"/>
      <c r="H420" s="126"/>
      <c r="I420" s="126"/>
      <c r="J420" s="126"/>
      <c r="K420" s="126"/>
      <c r="L420" s="126"/>
      <c r="M420" s="126"/>
      <c r="N420" s="126"/>
      <c r="O420" s="126"/>
      <c r="P420" s="126"/>
      <c r="Q420" s="133"/>
    </row>
    <row r="421" spans="6:17">
      <c r="F421" s="126"/>
      <c r="G421" s="126"/>
      <c r="H421" s="126"/>
      <c r="I421" s="126"/>
      <c r="J421" s="126"/>
      <c r="K421" s="126"/>
      <c r="L421" s="126"/>
      <c r="M421" s="126"/>
      <c r="N421" s="126"/>
      <c r="O421" s="126"/>
      <c r="P421" s="126"/>
      <c r="Q421" s="133"/>
    </row>
    <row r="422" spans="6:17">
      <c r="F422" s="126"/>
      <c r="G422" s="126"/>
      <c r="H422" s="126"/>
      <c r="I422" s="126"/>
      <c r="J422" s="126"/>
      <c r="K422" s="126"/>
      <c r="L422" s="126"/>
      <c r="M422" s="126"/>
      <c r="N422" s="126"/>
      <c r="O422" s="126"/>
      <c r="P422" s="126"/>
      <c r="Q422" s="133"/>
    </row>
    <row r="423" spans="6:17">
      <c r="F423" s="126"/>
      <c r="G423" s="126"/>
      <c r="H423" s="126"/>
      <c r="I423" s="126"/>
      <c r="J423" s="126"/>
      <c r="K423" s="126"/>
      <c r="L423" s="126"/>
      <c r="M423" s="126"/>
      <c r="N423" s="126"/>
      <c r="O423" s="126"/>
      <c r="P423" s="126"/>
      <c r="Q423" s="133"/>
    </row>
    <row r="424" spans="6:17">
      <c r="F424" s="126"/>
      <c r="G424" s="126"/>
      <c r="H424" s="126"/>
      <c r="I424" s="126"/>
      <c r="J424" s="126"/>
      <c r="K424" s="126"/>
      <c r="L424" s="126"/>
      <c r="M424" s="126"/>
      <c r="N424" s="126"/>
      <c r="O424" s="126"/>
      <c r="P424" s="126"/>
      <c r="Q424" s="133"/>
    </row>
    <row r="425" spans="6:17">
      <c r="F425" s="126"/>
      <c r="G425" s="126"/>
      <c r="H425" s="126"/>
      <c r="I425" s="126"/>
      <c r="J425" s="126"/>
      <c r="K425" s="126"/>
      <c r="L425" s="126"/>
      <c r="M425" s="126"/>
      <c r="N425" s="126"/>
      <c r="O425" s="126"/>
      <c r="P425" s="126"/>
      <c r="Q425" s="133"/>
    </row>
    <row r="426" spans="6:17">
      <c r="F426" s="126"/>
      <c r="G426" s="126"/>
      <c r="H426" s="126"/>
      <c r="I426" s="126"/>
      <c r="J426" s="126"/>
      <c r="K426" s="126"/>
      <c r="L426" s="126"/>
      <c r="M426" s="126"/>
      <c r="N426" s="126"/>
      <c r="O426" s="126"/>
      <c r="P426" s="126"/>
      <c r="Q426" s="133"/>
    </row>
    <row r="427" spans="6:17">
      <c r="F427" s="126"/>
      <c r="G427" s="126"/>
      <c r="H427" s="126"/>
      <c r="I427" s="126"/>
      <c r="J427" s="126"/>
      <c r="K427" s="126"/>
      <c r="L427" s="126"/>
      <c r="M427" s="126"/>
      <c r="N427" s="126"/>
      <c r="O427" s="126"/>
      <c r="P427" s="126"/>
      <c r="Q427" s="133"/>
    </row>
    <row r="428" spans="6:17">
      <c r="F428" s="126"/>
      <c r="G428" s="126"/>
      <c r="H428" s="126"/>
      <c r="I428" s="126"/>
      <c r="J428" s="126"/>
      <c r="K428" s="126"/>
      <c r="L428" s="126"/>
      <c r="M428" s="126"/>
      <c r="N428" s="126"/>
      <c r="O428" s="126"/>
      <c r="P428" s="126"/>
      <c r="Q428" s="133"/>
    </row>
    <row r="429" spans="6:17">
      <c r="F429" s="126"/>
      <c r="G429" s="126"/>
      <c r="H429" s="126"/>
      <c r="I429" s="126"/>
      <c r="J429" s="126"/>
      <c r="K429" s="126"/>
      <c r="L429" s="126"/>
      <c r="M429" s="126"/>
      <c r="N429" s="126"/>
      <c r="O429" s="126"/>
      <c r="P429" s="126"/>
      <c r="Q429" s="133"/>
    </row>
    <row r="430" spans="6:17">
      <c r="F430" s="126"/>
      <c r="G430" s="126"/>
      <c r="H430" s="126"/>
      <c r="I430" s="126"/>
      <c r="J430" s="126"/>
      <c r="K430" s="126"/>
      <c r="L430" s="126"/>
      <c r="M430" s="126"/>
      <c r="N430" s="126"/>
      <c r="O430" s="126"/>
      <c r="P430" s="126"/>
      <c r="Q430" s="133"/>
    </row>
    <row r="431" spans="6:17">
      <c r="F431" s="126"/>
      <c r="G431" s="126"/>
      <c r="H431" s="126"/>
      <c r="I431" s="126"/>
      <c r="J431" s="126"/>
      <c r="K431" s="126"/>
      <c r="L431" s="126"/>
      <c r="M431" s="126"/>
      <c r="N431" s="126"/>
      <c r="O431" s="126"/>
      <c r="P431" s="126"/>
      <c r="Q431" s="133"/>
    </row>
    <row r="432" spans="6:17">
      <c r="F432" s="126"/>
      <c r="G432" s="126"/>
      <c r="H432" s="126"/>
      <c r="I432" s="126"/>
      <c r="J432" s="126"/>
      <c r="K432" s="126"/>
      <c r="L432" s="126"/>
      <c r="M432" s="126"/>
      <c r="N432" s="126"/>
      <c r="O432" s="126"/>
      <c r="P432" s="126"/>
      <c r="Q432" s="133"/>
    </row>
    <row r="433" spans="6:17">
      <c r="F433" s="126"/>
      <c r="G433" s="126"/>
      <c r="H433" s="126"/>
      <c r="I433" s="126"/>
      <c r="J433" s="126"/>
      <c r="K433" s="126"/>
      <c r="L433" s="126"/>
      <c r="M433" s="126"/>
      <c r="N433" s="126"/>
      <c r="O433" s="126"/>
      <c r="P433" s="126"/>
      <c r="Q433" s="133"/>
    </row>
    <row r="434" spans="6:17">
      <c r="F434" s="126"/>
      <c r="G434" s="126"/>
      <c r="H434" s="126"/>
      <c r="I434" s="126"/>
      <c r="J434" s="126"/>
      <c r="K434" s="126"/>
      <c r="L434" s="126"/>
      <c r="M434" s="126"/>
      <c r="N434" s="126"/>
      <c r="O434" s="126"/>
      <c r="P434" s="126"/>
      <c r="Q434" s="133"/>
    </row>
    <row r="435" spans="6:17">
      <c r="F435" s="126"/>
      <c r="G435" s="126"/>
      <c r="H435" s="126"/>
      <c r="I435" s="126"/>
      <c r="J435" s="126"/>
      <c r="K435" s="126"/>
      <c r="L435" s="126"/>
      <c r="M435" s="126"/>
      <c r="N435" s="126"/>
      <c r="O435" s="126"/>
      <c r="P435" s="126"/>
      <c r="Q435" s="133"/>
    </row>
    <row r="436" spans="6:17">
      <c r="F436" s="126"/>
      <c r="G436" s="126"/>
      <c r="H436" s="126"/>
      <c r="I436" s="126"/>
      <c r="J436" s="126"/>
      <c r="K436" s="126"/>
      <c r="L436" s="126"/>
      <c r="M436" s="126"/>
      <c r="N436" s="126"/>
      <c r="O436" s="126"/>
      <c r="P436" s="126"/>
      <c r="Q436" s="133"/>
    </row>
    <row r="437" spans="6:17">
      <c r="F437" s="126"/>
      <c r="G437" s="126"/>
      <c r="H437" s="126"/>
      <c r="I437" s="126"/>
      <c r="J437" s="126"/>
      <c r="K437" s="126"/>
      <c r="L437" s="126"/>
      <c r="M437" s="126"/>
      <c r="N437" s="126"/>
      <c r="O437" s="126"/>
      <c r="P437" s="126"/>
      <c r="Q437" s="133"/>
    </row>
    <row r="438" spans="6:17">
      <c r="F438" s="126"/>
      <c r="G438" s="126"/>
      <c r="H438" s="126"/>
      <c r="I438" s="126"/>
      <c r="J438" s="126"/>
      <c r="K438" s="126"/>
      <c r="L438" s="126"/>
      <c r="M438" s="126"/>
      <c r="N438" s="126"/>
      <c r="O438" s="126"/>
      <c r="P438" s="126"/>
      <c r="Q438" s="133"/>
    </row>
    <row r="439" spans="6:17">
      <c r="F439" s="126"/>
      <c r="G439" s="126"/>
      <c r="H439" s="126"/>
      <c r="I439" s="126"/>
      <c r="J439" s="126"/>
      <c r="K439" s="126"/>
      <c r="L439" s="126"/>
      <c r="M439" s="126"/>
      <c r="N439" s="126"/>
      <c r="O439" s="126"/>
      <c r="P439" s="126"/>
      <c r="Q439" s="133"/>
    </row>
    <row r="440" spans="6:17">
      <c r="F440" s="126"/>
      <c r="G440" s="126"/>
      <c r="H440" s="126"/>
      <c r="I440" s="126"/>
      <c r="J440" s="126"/>
      <c r="K440" s="126"/>
      <c r="L440" s="126"/>
      <c r="M440" s="126"/>
      <c r="N440" s="126"/>
      <c r="O440" s="126"/>
      <c r="P440" s="126"/>
      <c r="Q440" s="133"/>
    </row>
    <row r="441" spans="6:17">
      <c r="F441" s="126"/>
      <c r="G441" s="126"/>
      <c r="H441" s="126"/>
      <c r="I441" s="126"/>
      <c r="J441" s="126"/>
      <c r="K441" s="126"/>
      <c r="L441" s="126"/>
      <c r="M441" s="126"/>
      <c r="N441" s="126"/>
      <c r="O441" s="126"/>
      <c r="P441" s="126"/>
      <c r="Q441" s="133"/>
    </row>
    <row r="442" spans="6:17">
      <c r="F442" s="126"/>
      <c r="G442" s="126"/>
      <c r="H442" s="126"/>
      <c r="I442" s="126"/>
      <c r="J442" s="126"/>
      <c r="K442" s="126"/>
      <c r="L442" s="126"/>
      <c r="M442" s="126"/>
      <c r="N442" s="126"/>
      <c r="O442" s="126"/>
      <c r="P442" s="126"/>
      <c r="Q442" s="133"/>
    </row>
    <row r="443" spans="6:17">
      <c r="F443" s="126"/>
      <c r="G443" s="126"/>
      <c r="H443" s="126"/>
      <c r="I443" s="126"/>
      <c r="J443" s="126"/>
      <c r="K443" s="126"/>
      <c r="L443" s="126"/>
      <c r="M443" s="126"/>
      <c r="N443" s="126"/>
      <c r="O443" s="126"/>
      <c r="P443" s="126"/>
      <c r="Q443" s="133"/>
    </row>
    <row r="444" spans="6:17">
      <c r="F444" s="126"/>
      <c r="G444" s="126"/>
      <c r="H444" s="126"/>
      <c r="I444" s="126"/>
      <c r="J444" s="126"/>
      <c r="K444" s="126"/>
      <c r="L444" s="126"/>
      <c r="M444" s="126"/>
      <c r="N444" s="126"/>
      <c r="O444" s="126"/>
      <c r="P444" s="126"/>
      <c r="Q444" s="133"/>
    </row>
    <row r="445" spans="6:17">
      <c r="F445" s="126"/>
      <c r="G445" s="126"/>
      <c r="H445" s="126"/>
      <c r="I445" s="126"/>
      <c r="J445" s="126"/>
      <c r="K445" s="126"/>
      <c r="L445" s="126"/>
      <c r="M445" s="126"/>
      <c r="N445" s="126"/>
      <c r="O445" s="126"/>
      <c r="P445" s="126"/>
      <c r="Q445" s="133"/>
    </row>
    <row r="446" spans="6:17">
      <c r="F446" s="126"/>
      <c r="G446" s="126"/>
      <c r="H446" s="126"/>
      <c r="I446" s="126"/>
      <c r="J446" s="126"/>
      <c r="K446" s="126"/>
      <c r="L446" s="126"/>
      <c r="M446" s="126"/>
      <c r="N446" s="126"/>
      <c r="O446" s="126"/>
      <c r="P446" s="126"/>
      <c r="Q446" s="133"/>
    </row>
    <row r="447" spans="6:17">
      <c r="F447" s="126"/>
      <c r="G447" s="126"/>
      <c r="H447" s="126"/>
      <c r="I447" s="126"/>
      <c r="J447" s="126"/>
      <c r="K447" s="126"/>
      <c r="L447" s="126"/>
      <c r="M447" s="126"/>
      <c r="N447" s="126"/>
      <c r="O447" s="126"/>
      <c r="P447" s="126"/>
      <c r="Q447" s="133"/>
    </row>
    <row r="448" spans="6:17">
      <c r="F448" s="126"/>
      <c r="G448" s="126"/>
      <c r="H448" s="126"/>
      <c r="I448" s="126"/>
      <c r="J448" s="126"/>
      <c r="K448" s="126"/>
      <c r="L448" s="126"/>
      <c r="M448" s="126"/>
      <c r="N448" s="126"/>
      <c r="O448" s="126"/>
      <c r="P448" s="126"/>
      <c r="Q448" s="133"/>
    </row>
    <row r="449" spans="6:17">
      <c r="F449" s="126"/>
      <c r="G449" s="126"/>
      <c r="H449" s="126"/>
      <c r="I449" s="126"/>
      <c r="J449" s="126"/>
      <c r="K449" s="126"/>
      <c r="L449" s="126"/>
      <c r="M449" s="126"/>
      <c r="N449" s="126"/>
      <c r="O449" s="126"/>
      <c r="P449" s="126"/>
      <c r="Q449" s="133"/>
    </row>
    <row r="450" spans="6:17">
      <c r="F450" s="126"/>
      <c r="G450" s="126"/>
      <c r="H450" s="126"/>
      <c r="I450" s="126"/>
      <c r="J450" s="126"/>
      <c r="K450" s="126"/>
      <c r="L450" s="126"/>
      <c r="M450" s="126"/>
      <c r="N450" s="126"/>
      <c r="O450" s="126"/>
      <c r="P450" s="126"/>
      <c r="Q450" s="133"/>
    </row>
    <row r="451" spans="6:17">
      <c r="F451" s="126"/>
      <c r="G451" s="126"/>
      <c r="H451" s="126"/>
      <c r="I451" s="126"/>
      <c r="J451" s="126"/>
      <c r="K451" s="126"/>
      <c r="L451" s="126"/>
      <c r="M451" s="126"/>
      <c r="N451" s="126"/>
      <c r="O451" s="126"/>
      <c r="P451" s="126"/>
      <c r="Q451" s="133"/>
    </row>
    <row r="452" spans="6:17">
      <c r="F452" s="126"/>
      <c r="G452" s="126"/>
      <c r="H452" s="126"/>
      <c r="I452" s="126"/>
      <c r="J452" s="126"/>
      <c r="K452" s="126"/>
      <c r="L452" s="126"/>
      <c r="M452" s="126"/>
      <c r="N452" s="126"/>
      <c r="O452" s="126"/>
      <c r="P452" s="126"/>
      <c r="Q452" s="133"/>
    </row>
    <row r="453" spans="6:17">
      <c r="F453" s="126"/>
      <c r="G453" s="126"/>
      <c r="H453" s="126"/>
      <c r="I453" s="126"/>
      <c r="J453" s="126"/>
      <c r="K453" s="126"/>
      <c r="L453" s="126"/>
      <c r="M453" s="126"/>
      <c r="N453" s="126"/>
      <c r="O453" s="126"/>
      <c r="P453" s="126"/>
      <c r="Q453" s="133"/>
    </row>
    <row r="454" spans="6:17">
      <c r="F454" s="126"/>
      <c r="G454" s="126"/>
      <c r="H454" s="126"/>
      <c r="I454" s="126"/>
      <c r="J454" s="126"/>
      <c r="K454" s="126"/>
      <c r="L454" s="126"/>
      <c r="M454" s="126"/>
      <c r="N454" s="126"/>
      <c r="O454" s="126"/>
      <c r="P454" s="126"/>
      <c r="Q454" s="133"/>
    </row>
    <row r="455" spans="6:17">
      <c r="F455" s="126"/>
      <c r="G455" s="126"/>
      <c r="H455" s="126"/>
      <c r="I455" s="126"/>
      <c r="J455" s="126"/>
      <c r="K455" s="126"/>
      <c r="L455" s="126"/>
      <c r="M455" s="126"/>
      <c r="N455" s="126"/>
      <c r="O455" s="126"/>
      <c r="P455" s="126"/>
      <c r="Q455" s="133"/>
    </row>
    <row r="456" spans="6:17">
      <c r="F456" s="126"/>
      <c r="G456" s="126"/>
      <c r="H456" s="126"/>
      <c r="I456" s="126"/>
      <c r="J456" s="126"/>
      <c r="K456" s="126"/>
      <c r="L456" s="126"/>
      <c r="M456" s="126"/>
      <c r="N456" s="126"/>
      <c r="O456" s="126"/>
      <c r="P456" s="126"/>
      <c r="Q456" s="133"/>
    </row>
    <row r="457" spans="6:17">
      <c r="F457" s="126"/>
      <c r="G457" s="126"/>
      <c r="H457" s="126"/>
      <c r="I457" s="126"/>
      <c r="J457" s="126"/>
      <c r="K457" s="126"/>
      <c r="L457" s="126"/>
      <c r="M457" s="126"/>
      <c r="N457" s="126"/>
      <c r="O457" s="126"/>
      <c r="P457" s="126"/>
      <c r="Q457" s="133"/>
    </row>
    <row r="458" spans="6:17">
      <c r="F458" s="126"/>
      <c r="G458" s="126"/>
      <c r="H458" s="126"/>
      <c r="I458" s="126"/>
      <c r="J458" s="126"/>
      <c r="K458" s="126"/>
      <c r="L458" s="126"/>
      <c r="M458" s="126"/>
      <c r="N458" s="126"/>
      <c r="O458" s="126"/>
      <c r="P458" s="126"/>
      <c r="Q458" s="133"/>
    </row>
    <row r="459" spans="6:17">
      <c r="F459" s="126"/>
      <c r="G459" s="126"/>
      <c r="H459" s="126"/>
      <c r="I459" s="126"/>
      <c r="J459" s="126"/>
      <c r="K459" s="126"/>
      <c r="L459" s="126"/>
      <c r="M459" s="126"/>
      <c r="N459" s="126"/>
      <c r="O459" s="126"/>
      <c r="P459" s="126"/>
      <c r="Q459" s="133"/>
    </row>
    <row r="460" spans="6:17">
      <c r="F460" s="126"/>
      <c r="G460" s="126"/>
      <c r="H460" s="126"/>
      <c r="I460" s="126"/>
      <c r="J460" s="126"/>
      <c r="K460" s="126"/>
      <c r="L460" s="126"/>
      <c r="M460" s="126"/>
      <c r="N460" s="126"/>
      <c r="O460" s="126"/>
      <c r="P460" s="126"/>
      <c r="Q460" s="133"/>
    </row>
    <row r="461" spans="6:17">
      <c r="F461" s="126"/>
      <c r="G461" s="126"/>
      <c r="H461" s="126"/>
      <c r="I461" s="126"/>
      <c r="J461" s="126"/>
      <c r="K461" s="126"/>
      <c r="L461" s="126"/>
      <c r="M461" s="126"/>
      <c r="N461" s="126"/>
      <c r="O461" s="126"/>
      <c r="P461" s="126"/>
      <c r="Q461" s="133"/>
    </row>
    <row r="462" spans="6:17">
      <c r="F462" s="126"/>
      <c r="G462" s="126"/>
      <c r="H462" s="126"/>
      <c r="I462" s="126"/>
      <c r="J462" s="126"/>
      <c r="K462" s="126"/>
      <c r="L462" s="126"/>
      <c r="M462" s="126"/>
      <c r="N462" s="126"/>
      <c r="O462" s="126"/>
      <c r="P462" s="126"/>
      <c r="Q462" s="133"/>
    </row>
    <row r="463" spans="6:17">
      <c r="F463" s="126"/>
      <c r="G463" s="126"/>
      <c r="H463" s="126"/>
      <c r="I463" s="126"/>
      <c r="J463" s="126"/>
      <c r="K463" s="126"/>
      <c r="L463" s="126"/>
      <c r="M463" s="126"/>
      <c r="N463" s="126"/>
      <c r="O463" s="126"/>
      <c r="P463" s="126"/>
      <c r="Q463" s="133"/>
    </row>
    <row r="464" spans="6:17">
      <c r="F464" s="126"/>
      <c r="G464" s="126"/>
      <c r="H464" s="126"/>
      <c r="I464" s="126"/>
      <c r="J464" s="126"/>
      <c r="K464" s="126"/>
      <c r="L464" s="126"/>
      <c r="M464" s="126"/>
      <c r="N464" s="126"/>
      <c r="O464" s="126"/>
      <c r="P464" s="126"/>
      <c r="Q464" s="133"/>
    </row>
    <row r="465" spans="6:17">
      <c r="F465" s="126"/>
      <c r="G465" s="126"/>
      <c r="H465" s="126"/>
      <c r="I465" s="126"/>
      <c r="J465" s="126"/>
      <c r="K465" s="126"/>
      <c r="L465" s="126"/>
      <c r="M465" s="126"/>
      <c r="N465" s="126"/>
      <c r="O465" s="126"/>
      <c r="P465" s="126"/>
      <c r="Q465" s="133"/>
    </row>
    <row r="466" spans="6:17">
      <c r="F466" s="126"/>
      <c r="G466" s="126"/>
      <c r="H466" s="126"/>
      <c r="I466" s="126"/>
      <c r="J466" s="126"/>
      <c r="K466" s="126"/>
      <c r="L466" s="126"/>
      <c r="M466" s="126"/>
      <c r="N466" s="126"/>
      <c r="O466" s="126"/>
      <c r="P466" s="126"/>
      <c r="Q466" s="133"/>
    </row>
    <row r="467" spans="6:17">
      <c r="F467" s="126"/>
      <c r="G467" s="126"/>
      <c r="H467" s="126"/>
      <c r="I467" s="126"/>
      <c r="J467" s="126"/>
      <c r="K467" s="126"/>
      <c r="L467" s="126"/>
      <c r="M467" s="126"/>
      <c r="N467" s="126"/>
      <c r="O467" s="126"/>
      <c r="P467" s="126"/>
      <c r="Q467" s="133"/>
    </row>
    <row r="468" spans="6:17">
      <c r="F468" s="126"/>
      <c r="G468" s="126"/>
      <c r="H468" s="126"/>
      <c r="I468" s="126"/>
      <c r="J468" s="126"/>
      <c r="K468" s="126"/>
      <c r="L468" s="126"/>
      <c r="M468" s="126"/>
      <c r="N468" s="126"/>
      <c r="O468" s="126"/>
      <c r="P468" s="126"/>
      <c r="Q468" s="133"/>
    </row>
    <row r="469" spans="6:17">
      <c r="F469" s="126"/>
      <c r="G469" s="126"/>
      <c r="H469" s="126"/>
      <c r="I469" s="126"/>
      <c r="J469" s="126"/>
      <c r="K469" s="126"/>
      <c r="L469" s="126"/>
      <c r="M469" s="126"/>
      <c r="N469" s="126"/>
      <c r="O469" s="126"/>
      <c r="P469" s="126"/>
      <c r="Q469" s="133"/>
    </row>
    <row r="470" spans="6:17">
      <c r="F470" s="126"/>
      <c r="G470" s="126"/>
      <c r="H470" s="126"/>
      <c r="I470" s="126"/>
      <c r="J470" s="126"/>
      <c r="K470" s="126"/>
      <c r="L470" s="126"/>
      <c r="M470" s="126"/>
      <c r="N470" s="126"/>
      <c r="O470" s="126"/>
      <c r="P470" s="126"/>
      <c r="Q470" s="133"/>
    </row>
    <row r="471" spans="6:17">
      <c r="F471" s="126"/>
      <c r="G471" s="126"/>
      <c r="H471" s="126"/>
      <c r="I471" s="126"/>
      <c r="J471" s="126"/>
      <c r="K471" s="126"/>
      <c r="L471" s="126"/>
      <c r="M471" s="126"/>
      <c r="N471" s="126"/>
      <c r="O471" s="126"/>
      <c r="P471" s="126"/>
      <c r="Q471" s="133"/>
    </row>
    <row r="472" spans="6:17">
      <c r="F472" s="126"/>
      <c r="G472" s="126"/>
      <c r="H472" s="126"/>
      <c r="I472" s="126"/>
      <c r="J472" s="126"/>
      <c r="K472" s="126"/>
      <c r="L472" s="126"/>
      <c r="M472" s="126"/>
      <c r="N472" s="126"/>
      <c r="O472" s="126"/>
      <c r="P472" s="126"/>
      <c r="Q472" s="133"/>
    </row>
    <row r="473" spans="6:17">
      <c r="F473" s="126"/>
      <c r="G473" s="126"/>
      <c r="H473" s="126"/>
      <c r="I473" s="126"/>
      <c r="J473" s="126"/>
      <c r="K473" s="126"/>
      <c r="L473" s="126"/>
      <c r="M473" s="126"/>
      <c r="N473" s="126"/>
      <c r="O473" s="126"/>
      <c r="P473" s="126"/>
      <c r="Q473" s="133"/>
    </row>
    <row r="474" spans="6:17">
      <c r="F474" s="126"/>
      <c r="G474" s="126"/>
      <c r="H474" s="126"/>
      <c r="I474" s="126"/>
      <c r="J474" s="126"/>
      <c r="K474" s="126"/>
      <c r="L474" s="126"/>
      <c r="M474" s="126"/>
      <c r="N474" s="126"/>
      <c r="O474" s="126"/>
      <c r="P474" s="126"/>
      <c r="Q474" s="133"/>
    </row>
    <row r="475" spans="6:17">
      <c r="F475" s="126"/>
      <c r="G475" s="126"/>
      <c r="H475" s="126"/>
      <c r="I475" s="126"/>
      <c r="J475" s="126"/>
      <c r="K475" s="126"/>
      <c r="L475" s="126"/>
      <c r="M475" s="126"/>
      <c r="N475" s="126"/>
      <c r="O475" s="126"/>
      <c r="P475" s="126"/>
      <c r="Q475" s="133"/>
    </row>
    <row r="476" spans="6:17">
      <c r="F476" s="126"/>
      <c r="G476" s="126"/>
      <c r="H476" s="126"/>
      <c r="I476" s="126"/>
      <c r="J476" s="126"/>
      <c r="K476" s="126"/>
      <c r="L476" s="126"/>
      <c r="M476" s="126"/>
      <c r="N476" s="126"/>
      <c r="O476" s="126"/>
      <c r="P476" s="126"/>
      <c r="Q476" s="133"/>
    </row>
    <row r="477" spans="6:17">
      <c r="F477" s="126"/>
      <c r="G477" s="126"/>
      <c r="H477" s="126"/>
      <c r="I477" s="126"/>
      <c r="J477" s="126"/>
      <c r="K477" s="126"/>
      <c r="L477" s="126"/>
      <c r="M477" s="126"/>
      <c r="N477" s="126"/>
      <c r="O477" s="126"/>
      <c r="P477" s="126"/>
      <c r="Q477" s="133"/>
    </row>
    <row r="478" spans="6:17">
      <c r="F478" s="126"/>
      <c r="G478" s="126"/>
      <c r="H478" s="126"/>
      <c r="I478" s="126"/>
      <c r="J478" s="126"/>
      <c r="K478" s="126"/>
      <c r="L478" s="126"/>
      <c r="M478" s="126"/>
      <c r="N478" s="126"/>
      <c r="O478" s="126"/>
      <c r="P478" s="126"/>
      <c r="Q478" s="133"/>
    </row>
    <row r="479" spans="6:17">
      <c r="F479" s="126"/>
      <c r="G479" s="126"/>
      <c r="H479" s="126"/>
      <c r="I479" s="126"/>
      <c r="J479" s="126"/>
      <c r="K479" s="126"/>
      <c r="L479" s="126"/>
      <c r="M479" s="126"/>
      <c r="N479" s="126"/>
      <c r="O479" s="126"/>
      <c r="P479" s="126"/>
      <c r="Q479" s="133"/>
    </row>
    <row r="480" spans="6:17">
      <c r="F480" s="126"/>
      <c r="G480" s="126"/>
      <c r="H480" s="126"/>
      <c r="I480" s="126"/>
      <c r="J480" s="126"/>
      <c r="K480" s="126"/>
      <c r="L480" s="126"/>
      <c r="M480" s="126"/>
      <c r="N480" s="126"/>
      <c r="O480" s="126"/>
      <c r="P480" s="126"/>
      <c r="Q480" s="133"/>
    </row>
    <row r="481" spans="6:17">
      <c r="F481" s="126"/>
      <c r="G481" s="126"/>
      <c r="H481" s="126"/>
      <c r="I481" s="126"/>
      <c r="J481" s="126"/>
      <c r="K481" s="126"/>
      <c r="L481" s="126"/>
      <c r="M481" s="126"/>
      <c r="N481" s="126"/>
      <c r="O481" s="126"/>
      <c r="P481" s="126"/>
      <c r="Q481" s="133"/>
    </row>
    <row r="482" spans="6:17">
      <c r="F482" s="126"/>
      <c r="G482" s="126"/>
      <c r="H482" s="126"/>
      <c r="I482" s="126"/>
      <c r="J482" s="126"/>
      <c r="K482" s="126"/>
      <c r="L482" s="126"/>
      <c r="M482" s="126"/>
      <c r="N482" s="126"/>
      <c r="O482" s="126"/>
      <c r="P482" s="126"/>
      <c r="Q482" s="133"/>
    </row>
    <row r="483" spans="6:17">
      <c r="F483" s="126"/>
      <c r="G483" s="126"/>
      <c r="H483" s="126"/>
      <c r="I483" s="126"/>
      <c r="J483" s="126"/>
      <c r="K483" s="126"/>
      <c r="L483" s="126"/>
      <c r="M483" s="126"/>
      <c r="N483" s="126"/>
      <c r="O483" s="126"/>
      <c r="P483" s="126"/>
      <c r="Q483" s="133"/>
    </row>
    <row r="484" spans="6:17">
      <c r="F484" s="126"/>
      <c r="G484" s="126"/>
      <c r="H484" s="126"/>
      <c r="I484" s="126"/>
      <c r="J484" s="126"/>
      <c r="K484" s="126"/>
      <c r="L484" s="126"/>
      <c r="M484" s="126"/>
      <c r="N484" s="126"/>
      <c r="O484" s="126"/>
      <c r="P484" s="126"/>
      <c r="Q484" s="133"/>
    </row>
    <row r="485" spans="6:17">
      <c r="F485" s="126"/>
      <c r="G485" s="126"/>
      <c r="H485" s="126"/>
      <c r="I485" s="126"/>
      <c r="J485" s="126"/>
      <c r="K485" s="126"/>
      <c r="L485" s="126"/>
      <c r="M485" s="126"/>
      <c r="N485" s="126"/>
      <c r="O485" s="126"/>
      <c r="P485" s="126"/>
      <c r="Q485" s="133"/>
    </row>
    <row r="486" spans="6:17">
      <c r="F486" s="126"/>
      <c r="G486" s="126"/>
      <c r="H486" s="126"/>
      <c r="I486" s="126"/>
      <c r="J486" s="126"/>
      <c r="K486" s="126"/>
      <c r="L486" s="126"/>
      <c r="M486" s="126"/>
      <c r="N486" s="126"/>
      <c r="O486" s="126"/>
      <c r="P486" s="126"/>
      <c r="Q486" s="133"/>
    </row>
    <row r="487" spans="6:17">
      <c r="F487" s="126"/>
      <c r="G487" s="126"/>
      <c r="H487" s="126"/>
      <c r="I487" s="126"/>
      <c r="J487" s="126"/>
      <c r="K487" s="126"/>
      <c r="L487" s="126"/>
      <c r="M487" s="126"/>
      <c r="N487" s="126"/>
      <c r="O487" s="126"/>
      <c r="P487" s="126"/>
      <c r="Q487" s="133"/>
    </row>
    <row r="488" spans="6:17">
      <c r="F488" s="126"/>
      <c r="G488" s="126"/>
      <c r="H488" s="126"/>
      <c r="I488" s="126"/>
      <c r="J488" s="126"/>
      <c r="K488" s="126"/>
      <c r="L488" s="126"/>
      <c r="M488" s="126"/>
      <c r="N488" s="126"/>
      <c r="O488" s="126"/>
      <c r="P488" s="126"/>
      <c r="Q488" s="133"/>
    </row>
    <row r="489" spans="6:17">
      <c r="F489" s="126"/>
      <c r="G489" s="126"/>
      <c r="H489" s="126"/>
      <c r="I489" s="126"/>
      <c r="J489" s="126"/>
      <c r="K489" s="126"/>
      <c r="L489" s="126"/>
      <c r="M489" s="126"/>
      <c r="N489" s="126"/>
      <c r="O489" s="126"/>
      <c r="P489" s="126"/>
      <c r="Q489" s="133"/>
    </row>
    <row r="490" spans="6:17">
      <c r="F490" s="126"/>
      <c r="G490" s="126"/>
      <c r="H490" s="126"/>
      <c r="I490" s="126"/>
      <c r="J490" s="126"/>
      <c r="K490" s="126"/>
      <c r="L490" s="126"/>
      <c r="M490" s="126"/>
      <c r="N490" s="126"/>
      <c r="O490" s="126"/>
      <c r="P490" s="126"/>
      <c r="Q490" s="133"/>
    </row>
    <row r="491" spans="6:17">
      <c r="F491" s="126"/>
      <c r="G491" s="126"/>
      <c r="H491" s="126"/>
      <c r="I491" s="126"/>
      <c r="J491" s="126"/>
      <c r="K491" s="126"/>
      <c r="L491" s="126"/>
      <c r="M491" s="126"/>
      <c r="N491" s="126"/>
      <c r="O491" s="126"/>
      <c r="P491" s="126"/>
      <c r="Q491" s="133"/>
    </row>
    <row r="492" spans="6:17">
      <c r="F492" s="126"/>
      <c r="G492" s="126"/>
      <c r="H492" s="126"/>
      <c r="I492" s="126"/>
      <c r="J492" s="126"/>
      <c r="K492" s="126"/>
      <c r="L492" s="126"/>
      <c r="M492" s="126"/>
      <c r="N492" s="126"/>
      <c r="O492" s="126"/>
      <c r="P492" s="126"/>
      <c r="Q492" s="133"/>
    </row>
    <row r="493" spans="6:17">
      <c r="F493" s="126"/>
      <c r="G493" s="126"/>
      <c r="H493" s="126"/>
      <c r="I493" s="126"/>
      <c r="J493" s="126"/>
      <c r="K493" s="126"/>
      <c r="L493" s="126"/>
      <c r="M493" s="126"/>
      <c r="N493" s="126"/>
      <c r="O493" s="126"/>
      <c r="P493" s="126"/>
      <c r="Q493" s="133"/>
    </row>
    <row r="494" spans="6:17">
      <c r="F494" s="126"/>
      <c r="G494" s="126"/>
      <c r="H494" s="126"/>
      <c r="I494" s="126"/>
      <c r="J494" s="126"/>
      <c r="K494" s="126"/>
      <c r="L494" s="126"/>
      <c r="M494" s="126"/>
      <c r="N494" s="126"/>
      <c r="O494" s="126"/>
      <c r="P494" s="126"/>
      <c r="Q494" s="133"/>
    </row>
    <row r="495" spans="6:17">
      <c r="F495" s="126"/>
      <c r="G495" s="126"/>
      <c r="H495" s="126"/>
      <c r="I495" s="126"/>
      <c r="J495" s="126"/>
      <c r="K495" s="126"/>
      <c r="L495" s="126"/>
      <c r="M495" s="126"/>
      <c r="N495" s="126"/>
      <c r="O495" s="126"/>
      <c r="P495" s="126"/>
      <c r="Q495" s="133"/>
    </row>
    <row r="496" spans="6:17">
      <c r="F496" s="126"/>
      <c r="G496" s="126"/>
      <c r="H496" s="126"/>
      <c r="I496" s="126"/>
      <c r="J496" s="126"/>
      <c r="K496" s="126"/>
      <c r="L496" s="126"/>
      <c r="M496" s="126"/>
      <c r="N496" s="126"/>
      <c r="O496" s="126"/>
      <c r="P496" s="126"/>
      <c r="Q496" s="133"/>
    </row>
    <row r="497" spans="6:17">
      <c r="F497" s="126"/>
      <c r="G497" s="126"/>
      <c r="H497" s="126"/>
      <c r="I497" s="126"/>
      <c r="J497" s="126"/>
      <c r="K497" s="126"/>
      <c r="L497" s="126"/>
      <c r="M497" s="126"/>
      <c r="N497" s="126"/>
      <c r="O497" s="126"/>
      <c r="P497" s="126"/>
      <c r="Q497" s="133"/>
    </row>
    <row r="498" spans="6:17">
      <c r="F498" s="126"/>
      <c r="G498" s="126"/>
      <c r="H498" s="126"/>
      <c r="I498" s="126"/>
      <c r="J498" s="126"/>
      <c r="K498" s="126"/>
      <c r="L498" s="126"/>
      <c r="M498" s="126"/>
      <c r="N498" s="126"/>
      <c r="O498" s="126"/>
      <c r="P498" s="126"/>
      <c r="Q498" s="133"/>
    </row>
    <row r="499" spans="6:17">
      <c r="F499" s="126"/>
      <c r="G499" s="126"/>
      <c r="H499" s="126"/>
      <c r="I499" s="126"/>
      <c r="J499" s="126"/>
      <c r="K499" s="126"/>
      <c r="L499" s="126"/>
      <c r="M499" s="126"/>
      <c r="N499" s="126"/>
      <c r="O499" s="126"/>
      <c r="P499" s="126"/>
      <c r="Q499" s="133"/>
    </row>
  </sheetData>
  <mergeCells count="2">
    <mergeCell ref="A1:R1"/>
    <mergeCell ref="A2:R2"/>
  </mergeCells>
  <phoneticPr fontId="0" type="noConversion"/>
  <printOptions horizontalCentered="1"/>
  <pageMargins left="0" right="0" top="0.3" bottom="0.25" header="0.17" footer="0.17"/>
  <pageSetup scale="57" fitToHeight="2" orientation="landscape" r:id="rId1"/>
  <headerFooter alignWithMargins="0">
    <oddFooter>&amp;L&amp;F - &amp;D&amp;R&amp;P</oddFooter>
  </headerFooter>
  <rowBreaks count="1" manualBreakCount="1">
    <brk id="72" max="17"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32"/>
  <sheetViews>
    <sheetView zoomScale="80" zoomScaleNormal="80" workbookViewId="0">
      <selection sqref="A1:N1"/>
    </sheetView>
  </sheetViews>
  <sheetFormatPr defaultColWidth="7.7109375" defaultRowHeight="15"/>
  <cols>
    <col min="1" max="1" width="32.42578125" style="167" customWidth="1"/>
    <col min="2" max="2" width="15.7109375" style="167" bestFit="1" customWidth="1"/>
    <col min="3" max="3" width="15.85546875" style="167" bestFit="1" customWidth="1"/>
    <col min="4" max="4" width="15.140625" style="167" bestFit="1" customWidth="1"/>
    <col min="5" max="5" width="16.42578125" style="167" bestFit="1" customWidth="1"/>
    <col min="6" max="6" width="16.5703125" style="167" bestFit="1" customWidth="1"/>
    <col min="7" max="7" width="15" style="167" bestFit="1" customWidth="1"/>
    <col min="8" max="8" width="15.140625" style="167" bestFit="1" customWidth="1"/>
    <col min="9" max="9" width="16.42578125" style="167" bestFit="1" customWidth="1"/>
    <col min="10" max="10" width="15" style="167" bestFit="1" customWidth="1"/>
    <col min="11" max="11" width="15.140625" style="167" bestFit="1" customWidth="1"/>
    <col min="12" max="12" width="15.5703125" style="167" customWidth="1"/>
    <col min="13" max="13" width="15" style="167" bestFit="1" customWidth="1"/>
    <col min="14" max="14" width="17" style="167" bestFit="1" customWidth="1"/>
    <col min="15" max="15" width="7.7109375" style="167"/>
    <col min="16" max="16" width="23" style="167" bestFit="1" customWidth="1"/>
    <col min="17" max="17" width="10.85546875" style="167" bestFit="1" customWidth="1"/>
    <col min="18" max="16384" width="7.7109375" style="167"/>
  </cols>
  <sheetData>
    <row r="1" spans="1:17" ht="15.75">
      <c r="A1" s="229" t="s">
        <v>73</v>
      </c>
      <c r="B1" s="229"/>
      <c r="C1" s="229"/>
      <c r="D1" s="229"/>
      <c r="E1" s="229"/>
      <c r="F1" s="229"/>
      <c r="G1" s="229"/>
      <c r="H1" s="229"/>
      <c r="I1" s="229"/>
      <c r="J1" s="229"/>
      <c r="K1" s="229"/>
      <c r="L1" s="229"/>
      <c r="M1" s="229"/>
      <c r="N1" s="229"/>
    </row>
    <row r="2" spans="1:17" ht="20.25">
      <c r="A2" s="230" t="s">
        <v>129</v>
      </c>
      <c r="B2" s="230"/>
      <c r="C2" s="230"/>
      <c r="D2" s="230"/>
      <c r="E2" s="230"/>
      <c r="F2" s="230"/>
      <c r="G2" s="230"/>
      <c r="H2" s="230"/>
      <c r="I2" s="230"/>
      <c r="J2" s="230"/>
      <c r="K2" s="230"/>
      <c r="L2" s="230"/>
      <c r="M2" s="230"/>
      <c r="N2" s="230"/>
    </row>
    <row r="3" spans="1:17" ht="23.25">
      <c r="A3" s="231" t="s">
        <v>183</v>
      </c>
      <c r="B3" s="231"/>
      <c r="C3" s="231"/>
      <c r="D3" s="231"/>
      <c r="E3" s="231"/>
      <c r="F3" s="231"/>
      <c r="G3" s="231"/>
      <c r="H3" s="231"/>
      <c r="I3" s="231"/>
      <c r="J3" s="231"/>
      <c r="K3" s="231"/>
      <c r="L3" s="231"/>
      <c r="M3" s="231"/>
      <c r="N3" s="231"/>
    </row>
    <row r="4" spans="1:17" ht="15.75">
      <c r="A4" s="232"/>
      <c r="B4" s="232"/>
      <c r="C4" s="232"/>
      <c r="D4" s="232"/>
      <c r="E4" s="232"/>
      <c r="F4" s="232"/>
      <c r="G4" s="232"/>
      <c r="H4" s="232"/>
      <c r="I4" s="232"/>
      <c r="J4" s="232"/>
      <c r="K4" s="232"/>
      <c r="L4" s="232"/>
      <c r="M4" s="232"/>
      <c r="N4" s="232"/>
    </row>
    <row r="7" spans="1:17" ht="27" customHeight="1">
      <c r="A7" s="168" t="s">
        <v>130</v>
      </c>
      <c r="B7" s="169">
        <v>43496</v>
      </c>
      <c r="C7" s="169">
        <f>EOMONTH(B7,1)</f>
        <v>43524</v>
      </c>
      <c r="D7" s="169">
        <f t="shared" ref="D7:M7" si="0">EOMONTH(C7,1)</f>
        <v>43555</v>
      </c>
      <c r="E7" s="169">
        <f t="shared" si="0"/>
        <v>43585</v>
      </c>
      <c r="F7" s="169">
        <f t="shared" si="0"/>
        <v>43616</v>
      </c>
      <c r="G7" s="169">
        <f t="shared" si="0"/>
        <v>43646</v>
      </c>
      <c r="H7" s="169">
        <f t="shared" si="0"/>
        <v>43677</v>
      </c>
      <c r="I7" s="169">
        <f t="shared" si="0"/>
        <v>43708</v>
      </c>
      <c r="J7" s="169">
        <f t="shared" si="0"/>
        <v>43738</v>
      </c>
      <c r="K7" s="169">
        <f t="shared" si="0"/>
        <v>43769</v>
      </c>
      <c r="L7" s="169">
        <f t="shared" si="0"/>
        <v>43799</v>
      </c>
      <c r="M7" s="169">
        <f t="shared" si="0"/>
        <v>43830</v>
      </c>
      <c r="N7" s="170" t="s">
        <v>125</v>
      </c>
    </row>
    <row r="8" spans="1:17" ht="24.95" customHeight="1">
      <c r="A8" s="171" t="s">
        <v>124</v>
      </c>
      <c r="B8" s="172">
        <f>'Input Tab'!C54</f>
        <v>547355</v>
      </c>
      <c r="C8" s="172">
        <f>'Input Tab'!D54</f>
        <v>516536</v>
      </c>
      <c r="D8" s="172">
        <f>'Input Tab'!E54</f>
        <v>544642</v>
      </c>
      <c r="E8" s="172">
        <f>'Input Tab'!F54</f>
        <v>444134</v>
      </c>
      <c r="F8" s="172">
        <f>'Input Tab'!G54</f>
        <v>407171</v>
      </c>
      <c r="G8" s="172">
        <f>'Input Tab'!H54</f>
        <v>418743</v>
      </c>
      <c r="H8" s="172">
        <f>'Input Tab'!I54</f>
        <v>447380</v>
      </c>
      <c r="I8" s="172">
        <f>'Input Tab'!J54</f>
        <v>475020</v>
      </c>
      <c r="J8" s="172">
        <f>'Input Tab'!K54</f>
        <v>0</v>
      </c>
      <c r="K8" s="172">
        <f>'Input Tab'!L54</f>
        <v>0</v>
      </c>
      <c r="L8" s="172">
        <f>'Input Tab'!M54</f>
        <v>0</v>
      </c>
      <c r="M8" s="172">
        <f>'Input Tab'!N54</f>
        <v>0</v>
      </c>
      <c r="N8" s="46">
        <f t="shared" ref="N8:N13" si="1">SUM(B8:M8)</f>
        <v>3800981</v>
      </c>
      <c r="P8" s="173"/>
    </row>
    <row r="9" spans="1:17" ht="24.95" customHeight="1">
      <c r="A9" s="174" t="s">
        <v>126</v>
      </c>
      <c r="B9" s="172">
        <f>-312515235/1000</f>
        <v>-312515</v>
      </c>
      <c r="C9" s="175">
        <f>IF(C8=0,0,-B10)</f>
        <v>-304564</v>
      </c>
      <c r="D9" s="175">
        <f t="shared" ref="D9:M9" si="2">IF(D8=0,0,-C10)</f>
        <v>-295589</v>
      </c>
      <c r="E9" s="175">
        <f t="shared" si="2"/>
        <v>-262441</v>
      </c>
      <c r="F9" s="175">
        <f t="shared" si="2"/>
        <v>-226759</v>
      </c>
      <c r="G9" s="175">
        <f t="shared" si="2"/>
        <v>-245868</v>
      </c>
      <c r="H9" s="175">
        <f t="shared" si="2"/>
        <v>-256648</v>
      </c>
      <c r="I9" s="175">
        <f t="shared" si="2"/>
        <v>-283505</v>
      </c>
      <c r="J9" s="175">
        <f t="shared" si="2"/>
        <v>0</v>
      </c>
      <c r="K9" s="175">
        <f t="shared" si="2"/>
        <v>0</v>
      </c>
      <c r="L9" s="175">
        <f t="shared" si="2"/>
        <v>0</v>
      </c>
      <c r="M9" s="175">
        <f t="shared" si="2"/>
        <v>0</v>
      </c>
      <c r="N9" s="46">
        <f t="shared" si="1"/>
        <v>-2187889</v>
      </c>
    </row>
    <row r="10" spans="1:17" ht="24.95" customHeight="1">
      <c r="A10" s="174" t="s">
        <v>127</v>
      </c>
      <c r="B10" s="172">
        <f>'Input Tab'!C55</f>
        <v>304564</v>
      </c>
      <c r="C10" s="172">
        <f>'Input Tab'!D55</f>
        <v>295589</v>
      </c>
      <c r="D10" s="172">
        <f>'Input Tab'!E55</f>
        <v>262441</v>
      </c>
      <c r="E10" s="172">
        <f>'Input Tab'!F55</f>
        <v>226759</v>
      </c>
      <c r="F10" s="172">
        <f>'Input Tab'!G55</f>
        <v>245868</v>
      </c>
      <c r="G10" s="172">
        <f>'Input Tab'!H55</f>
        <v>256648</v>
      </c>
      <c r="H10" s="172">
        <f>'Input Tab'!I55</f>
        <v>283505</v>
      </c>
      <c r="I10" s="172">
        <f>'Input Tab'!J55</f>
        <v>293509</v>
      </c>
      <c r="J10" s="172">
        <f>'Input Tab'!K55</f>
        <v>0</v>
      </c>
      <c r="K10" s="172">
        <f>'Input Tab'!L55</f>
        <v>0</v>
      </c>
      <c r="L10" s="172">
        <f>'Input Tab'!M55</f>
        <v>0</v>
      </c>
      <c r="M10" s="172">
        <f>'Input Tab'!N55</f>
        <v>0</v>
      </c>
      <c r="N10" s="46">
        <f t="shared" si="1"/>
        <v>2168883</v>
      </c>
      <c r="P10" s="176"/>
      <c r="Q10" s="176"/>
    </row>
    <row r="11" spans="1:17" ht="30.75" customHeight="1">
      <c r="A11" s="177" t="s">
        <v>131</v>
      </c>
      <c r="B11" s="178">
        <f t="shared" ref="B11:L11" si="3">SUM(B8:B10)</f>
        <v>539404</v>
      </c>
      <c r="C11" s="178">
        <f t="shared" si="3"/>
        <v>507561</v>
      </c>
      <c r="D11" s="178">
        <f t="shared" si="3"/>
        <v>511494</v>
      </c>
      <c r="E11" s="178">
        <f t="shared" si="3"/>
        <v>408452</v>
      </c>
      <c r="F11" s="178">
        <f t="shared" si="3"/>
        <v>426280</v>
      </c>
      <c r="G11" s="178">
        <f t="shared" si="3"/>
        <v>429523</v>
      </c>
      <c r="H11" s="178">
        <f t="shared" si="3"/>
        <v>474237</v>
      </c>
      <c r="I11" s="178">
        <f t="shared" si="3"/>
        <v>485024</v>
      </c>
      <c r="J11" s="178">
        <f t="shared" si="3"/>
        <v>0</v>
      </c>
      <c r="K11" s="178">
        <f t="shared" si="3"/>
        <v>0</v>
      </c>
      <c r="L11" s="178">
        <f t="shared" si="3"/>
        <v>0</v>
      </c>
      <c r="M11" s="178">
        <f>SUM(M8:M10)</f>
        <v>0</v>
      </c>
      <c r="N11" s="179">
        <f t="shared" si="1"/>
        <v>3781975</v>
      </c>
      <c r="P11" s="180"/>
      <c r="Q11" s="173"/>
    </row>
    <row r="12" spans="1:17" ht="32.25" customHeight="1">
      <c r="A12" s="181" t="s">
        <v>132</v>
      </c>
      <c r="B12" s="182">
        <f>'Input Tab'!C56</f>
        <v>556117</v>
      </c>
      <c r="C12" s="182">
        <f>'Input Tab'!D56</f>
        <v>486363</v>
      </c>
      <c r="D12" s="182">
        <f>'Input Tab'!E56</f>
        <v>477535</v>
      </c>
      <c r="E12" s="182">
        <f>'Input Tab'!F56</f>
        <v>431246</v>
      </c>
      <c r="F12" s="182">
        <f>'Input Tab'!G56</f>
        <v>432473</v>
      </c>
      <c r="G12" s="182">
        <f>'Input Tab'!H56</f>
        <v>424693</v>
      </c>
      <c r="H12" s="182">
        <f>'Input Tab'!I56</f>
        <v>490670</v>
      </c>
      <c r="I12" s="182">
        <f>'Input Tab'!J56</f>
        <v>464617</v>
      </c>
      <c r="J12" s="182">
        <f>'Input Tab'!K56</f>
        <v>435934</v>
      </c>
      <c r="K12" s="182">
        <f>'Input Tab'!L56</f>
        <v>436959</v>
      </c>
      <c r="L12" s="182">
        <f>'Input Tab'!M56</f>
        <v>468856</v>
      </c>
      <c r="M12" s="182">
        <f>'Input Tab'!N56</f>
        <v>553150</v>
      </c>
      <c r="N12" s="183">
        <f>SUM(B12:I12)</f>
        <v>3763714</v>
      </c>
      <c r="P12" s="140" t="s">
        <v>136</v>
      </c>
    </row>
    <row r="13" spans="1:17" ht="38.25" customHeight="1">
      <c r="A13" s="184" t="s">
        <v>128</v>
      </c>
      <c r="B13" s="47">
        <f>B11-B12</f>
        <v>-16713</v>
      </c>
      <c r="C13" s="47">
        <f>IF(C8=0," ",C11-C12)</f>
        <v>21198</v>
      </c>
      <c r="D13" s="47">
        <f t="shared" ref="D13:M13" si="4">IF(D8=0," ",D11-D12)</f>
        <v>33959</v>
      </c>
      <c r="E13" s="47">
        <f t="shared" si="4"/>
        <v>-22794</v>
      </c>
      <c r="F13" s="47">
        <f t="shared" si="4"/>
        <v>-6193</v>
      </c>
      <c r="G13" s="47">
        <f t="shared" si="4"/>
        <v>4830</v>
      </c>
      <c r="H13" s="47">
        <f t="shared" si="4"/>
        <v>-16433</v>
      </c>
      <c r="I13" s="47">
        <f t="shared" si="4"/>
        <v>20407</v>
      </c>
      <c r="J13" s="47" t="str">
        <f t="shared" si="4"/>
        <v xml:space="preserve"> </v>
      </c>
      <c r="K13" s="47" t="str">
        <f t="shared" si="4"/>
        <v xml:space="preserve"> </v>
      </c>
      <c r="L13" s="47" t="str">
        <f t="shared" si="4"/>
        <v xml:space="preserve"> </v>
      </c>
      <c r="M13" s="47" t="str">
        <f t="shared" si="4"/>
        <v xml:space="preserve"> </v>
      </c>
      <c r="N13" s="185">
        <f t="shared" si="1"/>
        <v>18261</v>
      </c>
    </row>
    <row r="14" spans="1:17" ht="42.75" customHeight="1">
      <c r="A14" s="184" t="s">
        <v>133</v>
      </c>
      <c r="B14" s="186">
        <f>'Input Tab'!C57</f>
        <v>18.11</v>
      </c>
      <c r="C14" s="186">
        <f>'Input Tab'!D57</f>
        <v>18.11</v>
      </c>
      <c r="D14" s="186">
        <f>'Input Tab'!E57</f>
        <v>18.11</v>
      </c>
      <c r="E14" s="186">
        <f>'Input Tab'!F57</f>
        <v>18.11</v>
      </c>
      <c r="F14" s="186">
        <f>'Input Tab'!G57</f>
        <v>18.11</v>
      </c>
      <c r="G14" s="186">
        <f>'Input Tab'!H57</f>
        <v>18.11</v>
      </c>
      <c r="H14" s="186">
        <f>'Input Tab'!I57</f>
        <v>18.11</v>
      </c>
      <c r="I14" s="186">
        <f>'Input Tab'!J57</f>
        <v>18.11</v>
      </c>
      <c r="J14" s="186">
        <f>'Input Tab'!K57</f>
        <v>18.11</v>
      </c>
      <c r="K14" s="186">
        <f>'Input Tab'!L57</f>
        <v>18.11</v>
      </c>
      <c r="L14" s="186">
        <f>'Input Tab'!M57</f>
        <v>18.11</v>
      </c>
      <c r="M14" s="186">
        <f>'Input Tab'!N57</f>
        <v>18.11</v>
      </c>
      <c r="N14" s="46"/>
    </row>
    <row r="15" spans="1:17" ht="30.75" customHeight="1" thickBot="1">
      <c r="A15" s="187" t="s">
        <v>134</v>
      </c>
      <c r="B15" s="188">
        <f>B13*B14</f>
        <v>-302672</v>
      </c>
      <c r="C15" s="188">
        <f>IF(C8=0,0,C13*C14)</f>
        <v>383896</v>
      </c>
      <c r="D15" s="188">
        <f t="shared" ref="D15:M15" si="5">IF(D8=0,0,D13*D14)</f>
        <v>614997</v>
      </c>
      <c r="E15" s="188">
        <f t="shared" si="5"/>
        <v>-412799</v>
      </c>
      <c r="F15" s="188">
        <f t="shared" si="5"/>
        <v>-112155</v>
      </c>
      <c r="G15" s="188">
        <f t="shared" si="5"/>
        <v>87471</v>
      </c>
      <c r="H15" s="188">
        <f t="shared" si="5"/>
        <v>-297602</v>
      </c>
      <c r="I15" s="188">
        <f t="shared" si="5"/>
        <v>369571</v>
      </c>
      <c r="J15" s="188">
        <f t="shared" si="5"/>
        <v>0</v>
      </c>
      <c r="K15" s="188">
        <f t="shared" si="5"/>
        <v>0</v>
      </c>
      <c r="L15" s="188">
        <f t="shared" si="5"/>
        <v>0</v>
      </c>
      <c r="M15" s="188">
        <f t="shared" si="5"/>
        <v>0</v>
      </c>
      <c r="N15" s="188">
        <f>SUM(B15:M15)</f>
        <v>330707</v>
      </c>
    </row>
    <row r="16" spans="1:17" ht="20.100000000000001" customHeight="1" thickTop="1">
      <c r="G16" s="189"/>
      <c r="N16" s="173"/>
    </row>
    <row r="17" spans="1:14" ht="20.100000000000001" customHeight="1">
      <c r="A17" s="190"/>
      <c r="N17" s="173"/>
    </row>
    <row r="18" spans="1:14" ht="36.75" customHeight="1">
      <c r="A18" s="191" t="s">
        <v>135</v>
      </c>
      <c r="B18" s="192">
        <f>B7</f>
        <v>43496</v>
      </c>
      <c r="C18" s="192">
        <f t="shared" ref="C18:N18" si="6">C7</f>
        <v>43524</v>
      </c>
      <c r="D18" s="192">
        <f t="shared" si="6"/>
        <v>43555</v>
      </c>
      <c r="E18" s="192">
        <f t="shared" si="6"/>
        <v>43585</v>
      </c>
      <c r="F18" s="192">
        <f t="shared" si="6"/>
        <v>43616</v>
      </c>
      <c r="G18" s="192">
        <f t="shared" si="6"/>
        <v>43646</v>
      </c>
      <c r="H18" s="192">
        <f t="shared" si="6"/>
        <v>43677</v>
      </c>
      <c r="I18" s="192">
        <f t="shared" si="6"/>
        <v>43708</v>
      </c>
      <c r="J18" s="192">
        <f t="shared" si="6"/>
        <v>43738</v>
      </c>
      <c r="K18" s="192">
        <f t="shared" si="6"/>
        <v>43769</v>
      </c>
      <c r="L18" s="192">
        <f t="shared" si="6"/>
        <v>43799</v>
      </c>
      <c r="M18" s="192">
        <f t="shared" si="6"/>
        <v>43830</v>
      </c>
      <c r="N18" s="169" t="str">
        <f t="shared" si="6"/>
        <v>YTD</v>
      </c>
    </row>
    <row r="19" spans="1:14" ht="29.25" customHeight="1">
      <c r="A19" s="193" t="s">
        <v>2</v>
      </c>
      <c r="B19" s="194">
        <f>IF(B8=0," ",B15*-1)</f>
        <v>302672</v>
      </c>
      <c r="C19" s="194">
        <f>IF(C8=0," ",C15*-1)</f>
        <v>-383896</v>
      </c>
      <c r="D19" s="194">
        <f t="shared" ref="D19:M19" si="7">IF(D8=0," ",D15*-1)</f>
        <v>-614997</v>
      </c>
      <c r="E19" s="194">
        <f t="shared" si="7"/>
        <v>412799</v>
      </c>
      <c r="F19" s="194">
        <f t="shared" si="7"/>
        <v>112155</v>
      </c>
      <c r="G19" s="194">
        <f t="shared" si="7"/>
        <v>-87471</v>
      </c>
      <c r="H19" s="194">
        <f t="shared" si="7"/>
        <v>297602</v>
      </c>
      <c r="I19" s="194">
        <f t="shared" si="7"/>
        <v>-369571</v>
      </c>
      <c r="J19" s="194" t="str">
        <f t="shared" si="7"/>
        <v xml:space="preserve"> </v>
      </c>
      <c r="K19" s="194" t="str">
        <f t="shared" si="7"/>
        <v xml:space="preserve"> </v>
      </c>
      <c r="L19" s="194" t="str">
        <f t="shared" si="7"/>
        <v xml:space="preserve"> </v>
      </c>
      <c r="M19" s="194" t="str">
        <f t="shared" si="7"/>
        <v xml:space="preserve"> </v>
      </c>
      <c r="N19" s="194">
        <f>N15*-1</f>
        <v>-330707</v>
      </c>
    </row>
    <row r="20" spans="1:14" ht="15.75">
      <c r="A20" s="195"/>
      <c r="B20" s="196" t="str">
        <f>IF(B19&lt;0,"Rebate","Surcharge")</f>
        <v>Surcharge</v>
      </c>
      <c r="C20" s="196" t="str">
        <f t="shared" ref="C20:N20" si="8">IF(C19&lt;0,"Rebate","Surcharge")</f>
        <v>Rebate</v>
      </c>
      <c r="D20" s="196" t="str">
        <f t="shared" si="8"/>
        <v>Rebate</v>
      </c>
      <c r="E20" s="196" t="str">
        <f t="shared" si="8"/>
        <v>Surcharge</v>
      </c>
      <c r="F20" s="196" t="str">
        <f t="shared" si="8"/>
        <v>Surcharge</v>
      </c>
      <c r="G20" s="196" t="str">
        <f t="shared" si="8"/>
        <v>Rebate</v>
      </c>
      <c r="H20" s="196" t="str">
        <f t="shared" si="8"/>
        <v>Surcharge</v>
      </c>
      <c r="I20" s="196" t="str">
        <f t="shared" si="8"/>
        <v>Rebate</v>
      </c>
      <c r="J20" s="196" t="str">
        <f t="shared" si="8"/>
        <v>Surcharge</v>
      </c>
      <c r="K20" s="196" t="str">
        <f t="shared" si="8"/>
        <v>Surcharge</v>
      </c>
      <c r="L20" s="196" t="str">
        <f t="shared" si="8"/>
        <v>Surcharge</v>
      </c>
      <c r="M20" s="196" t="str">
        <f t="shared" si="8"/>
        <v>Surcharge</v>
      </c>
      <c r="N20" s="196" t="str">
        <f t="shared" si="8"/>
        <v>Rebate</v>
      </c>
    </row>
    <row r="23" spans="1:14">
      <c r="G23" s="173"/>
    </row>
    <row r="32" spans="1:14">
      <c r="A32" s="197"/>
    </row>
  </sheetData>
  <mergeCells count="4">
    <mergeCell ref="A1:N1"/>
    <mergeCell ref="A2:N2"/>
    <mergeCell ref="A3:N3"/>
    <mergeCell ref="A4:N4"/>
  </mergeCells>
  <pageMargins left="0.17" right="0.17" top="0.75" bottom="0.75" header="0.3" footer="0.3"/>
  <pageSetup scale="58" orientation="landscape" r:id="rId1"/>
  <headerFooter>
    <oddFooter>&amp;RPage 5 of 5</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2001-12-03T08:00:00+00:00</OpenedDate>
    <SignificantOrder xmlns="dc463f71-b30c-4ab2-9473-d307f9d35888">false</SignificantOrder>
    <Date1 xmlns="dc463f71-b30c-4ab2-9473-d307f9d35888">2019-09-13T07:00:00+00:00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011595</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BA0E16C31A4504CAE5BB2275B5DA93C" ma:contentTypeVersion="128" ma:contentTypeDescription="" ma:contentTypeScope="" ma:versionID="18d8d8d74225d40a4de7e529c8e22dae">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854DD5-B6D2-4659-9769-ABFE4951A928}"/>
</file>

<file path=customXml/itemProps2.xml><?xml version="1.0" encoding="utf-8"?>
<ds:datastoreItem xmlns:ds="http://schemas.openxmlformats.org/officeDocument/2006/customXml" ds:itemID="{EBFE2153-D101-45D3-B8D1-5B4E2DFF6533}"/>
</file>

<file path=customXml/itemProps3.xml><?xml version="1.0" encoding="utf-8"?>
<ds:datastoreItem xmlns:ds="http://schemas.openxmlformats.org/officeDocument/2006/customXml" ds:itemID="{6E4A1DA7-2542-49B3-988C-2F6BB2BC12C7}"/>
</file>

<file path=customXml/itemProps4.xml><?xml version="1.0" encoding="utf-8"?>
<ds:datastoreItem xmlns:ds="http://schemas.openxmlformats.org/officeDocument/2006/customXml" ds:itemID="{907EE320-5E28-4739-88C1-6A4FBC99A3A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Input Tab</vt:lpstr>
      <vt:lpstr>WA Summary </vt:lpstr>
      <vt:lpstr>WA Monthly</vt:lpstr>
      <vt:lpstr>WA RRC</vt:lpstr>
      <vt:lpstr>AVARpt</vt:lpstr>
      <vt:lpstr>DefRpt</vt:lpstr>
      <vt:lpstr>GLAccts</vt:lpstr>
      <vt:lpstr>'WA Monthly'!Print_Area</vt:lpstr>
      <vt:lpstr>'WA RRC'!Print_Area</vt:lpstr>
      <vt:lpstr>'WA Summary '!Print_Area</vt:lpstr>
      <vt:lpstr>'WA Monthly'!Print_Titles</vt:lpstr>
      <vt:lpstr>WAAVARpt</vt:lpstr>
    </vt:vector>
  </TitlesOfParts>
  <Company>Avista Corp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Avista Corp Employee</dc:creator>
  <cp:lastModifiedBy>Kaylene Schultz</cp:lastModifiedBy>
  <cp:lastPrinted>2019-09-12T17:24:17Z</cp:lastPrinted>
  <dcterms:created xsi:type="dcterms:W3CDTF">2002-02-05T19:51:48Z</dcterms:created>
  <dcterms:modified xsi:type="dcterms:W3CDTF">2019-09-12T17:30:22Z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0x0101006E56B4D1795A2E4DB2F0B01679ED314A00FBA0E16C31A4504CAE5BB2275B5DA93C</vt:lpwstr>
  </property>
  <property fmtid="{D5CDD505-2E9C-101B-9397-08002B2CF9AE}" pid="3" name="_docset_NoMedatataSyncRequired">
    <vt:lpwstr>False</vt:lpwstr>
  </property>
  <property fmtid="{D5CDD505-2E9C-101B-9397-08002B2CF9AE}" pid="4" name="IsEFSEC">
    <vt:bool>false</vt:bool>
  </property>
</Properties>
</file>